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Daten Frank\Aktueller Ordner ab 17.05.2021\"/>
    </mc:Choice>
  </mc:AlternateContent>
  <xr:revisionPtr revIDLastSave="0" documentId="8_{5589231B-8325-4D39-B133-B6138E8F2E02}" xr6:coauthVersionLast="47" xr6:coauthVersionMax="47" xr10:uidLastSave="{00000000-0000-0000-0000-000000000000}"/>
  <workbookProtection workbookAlgorithmName="SHA-512" workbookHashValue="QO3kzXbjPa8lMmQeKRDrn5nUC0j8m08Ophj/EjTabzYPX+dtMBZPdC0fUBci5CIiro5RNamo36aqUfbGxdg3zA==" workbookSaltValue="AmwP9HLxNw/VQ9q7aoxYdA==" workbookSpinCount="100000" lockStructure="1"/>
  <bookViews>
    <workbookView xWindow="19103" yWindow="-98" windowWidth="28995" windowHeight="15796" tabRatio="415" xr2:uid="{00000000-000D-0000-FFFF-FFFF00000000}"/>
  </bookViews>
  <sheets>
    <sheet name="Stand 2023-09-11" sheetId="6" r:id="rId1"/>
    <sheet name="Kosten-Stellen" sheetId="7" r:id="rId2"/>
    <sheet name="Historie" sheetId="2" r:id="rId3"/>
  </sheets>
  <externalReferences>
    <externalReference r:id="rId4"/>
  </externalReferences>
  <definedNames>
    <definedName name="Datum">'[1]1 Deckblatt St.2011-03-30'!$G$17</definedName>
    <definedName name="_xlnm.Print_Area" localSheetId="0">'Stand 2023-09-11'!$B$2:$W$75</definedName>
    <definedName name="EingabeX">'[1]4 Honorar+TG, Betreuer'!$W$11:$W$12</definedName>
    <definedName name="Kostenstelle">'[1]1 Deckblatt St.2011-03-30'!$N$3</definedName>
    <definedName name="Ort">'[1]1 Deckblatt St.2011-03-30'!$G$15</definedName>
    <definedName name="Sonst.Auslagen">'[1]5 Fahrgeld + s.A.'!$X$20:$X$27</definedName>
    <definedName name="Sonstige">'[1]4 Honorar+TG, Betreuer'!$R$86:$R$88</definedName>
    <definedName name="Veranstaltung">'[1]1 Deckblatt St.2011-03-30'!$G$13</definedName>
    <definedName name="Z_C641DC01_2314_42C3_860E_51CB0C2DFDB3_.wvu.PrintArea" localSheetId="0" hidden="1">'Stand 2023-09-11'!$A$2:$W$47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9" i="6" l="1"/>
  <c r="Z19" i="6" s="1"/>
  <c r="AH20" i="6"/>
  <c r="Z20" i="6" s="1"/>
  <c r="AH21" i="6"/>
  <c r="AA21" i="6" s="1"/>
  <c r="Z21" i="6"/>
  <c r="AH22" i="6"/>
  <c r="AD22" i="6" s="1"/>
  <c r="AH23" i="6"/>
  <c r="AD23" i="6" s="1"/>
  <c r="AH24" i="6"/>
  <c r="AD24" i="6" s="1"/>
  <c r="Z24" i="6"/>
  <c r="AH25" i="6"/>
  <c r="Z25" i="6" s="1"/>
  <c r="AH26" i="6"/>
  <c r="AH27" i="6"/>
  <c r="Z27" i="6"/>
  <c r="AH28" i="6"/>
  <c r="AC28" i="6" s="1"/>
  <c r="AH29" i="6"/>
  <c r="AB29" i="6" s="1"/>
  <c r="AI29" i="6" s="1"/>
  <c r="Z29" i="6"/>
  <c r="AH30" i="6"/>
  <c r="AA30" i="6" s="1"/>
  <c r="AH31" i="6"/>
  <c r="AB31" i="6" s="1"/>
  <c r="AI31" i="6" s="1"/>
  <c r="Z31" i="6"/>
  <c r="AH32" i="6"/>
  <c r="AH33" i="6"/>
  <c r="AC33" i="6" s="1"/>
  <c r="AH34" i="6"/>
  <c r="AH35" i="6"/>
  <c r="AE35" i="6" s="1"/>
  <c r="Z35" i="6"/>
  <c r="AH36" i="6"/>
  <c r="AB36" i="6" s="1"/>
  <c r="AI36" i="6" s="1"/>
  <c r="AJ36" i="6" s="1"/>
  <c r="AH37" i="6"/>
  <c r="Z37" i="6" s="1"/>
  <c r="AH38" i="6"/>
  <c r="AA38" i="6" s="1"/>
  <c r="AH39" i="6"/>
  <c r="Z39" i="6" s="1"/>
  <c r="AH40" i="6"/>
  <c r="AB40" i="6" s="1"/>
  <c r="AI40" i="6" s="1"/>
  <c r="AH41" i="6"/>
  <c r="AA41" i="6" s="1"/>
  <c r="Z41" i="6"/>
  <c r="AD19" i="6"/>
  <c r="Z10" i="6"/>
  <c r="Z6" i="6"/>
  <c r="Z8" i="6"/>
  <c r="AA20" i="6"/>
  <c r="AE20" i="6"/>
  <c r="AA27" i="6"/>
  <c r="AB27" i="6"/>
  <c r="AC27" i="6"/>
  <c r="AD27" i="6"/>
  <c r="AE27" i="6"/>
  <c r="AA29" i="6"/>
  <c r="AC29" i="6"/>
  <c r="AD29" i="6"/>
  <c r="AE29" i="6"/>
  <c r="AE30" i="6"/>
  <c r="AA31" i="6"/>
  <c r="AB32" i="6"/>
  <c r="AI32" i="6" s="1"/>
  <c r="AC32" i="6"/>
  <c r="AA33" i="6"/>
  <c r="AB33" i="6"/>
  <c r="AI33" i="6" s="1"/>
  <c r="AD33" i="6"/>
  <c r="AD34" i="6"/>
  <c r="AA35" i="6"/>
  <c r="AB35" i="6"/>
  <c r="AI35" i="6" s="1"/>
  <c r="AJ35" i="6" s="1"/>
  <c r="AL35" i="6" s="1"/>
  <c r="AC35" i="6"/>
  <c r="AD35" i="6"/>
  <c r="AE37" i="6"/>
  <c r="AD38" i="6"/>
  <c r="AA39" i="6"/>
  <c r="AB39" i="6"/>
  <c r="AC39" i="6"/>
  <c r="AD39" i="6"/>
  <c r="AE39" i="6"/>
  <c r="AC40" i="6"/>
  <c r="AD41" i="6"/>
  <c r="AE41" i="6"/>
  <c r="AK19" i="6"/>
  <c r="AI27" i="6"/>
  <c r="AI39" i="6"/>
  <c r="AU41" i="6"/>
  <c r="AT41" i="6" s="1"/>
  <c r="AR41" i="6" s="1"/>
  <c r="BH41" i="6" s="1"/>
  <c r="BI41" i="6" s="1"/>
  <c r="AU20" i="6"/>
  <c r="AT20" i="6" s="1"/>
  <c r="V20" i="6" s="1"/>
  <c r="AU21" i="6"/>
  <c r="AT21" i="6" s="1"/>
  <c r="AU22" i="6"/>
  <c r="AT22" i="6" s="1"/>
  <c r="AU23" i="6"/>
  <c r="AT23" i="6" s="1"/>
  <c r="AU24" i="6"/>
  <c r="AT24" i="6" s="1"/>
  <c r="AU25" i="6"/>
  <c r="AT25" i="6"/>
  <c r="AR25" i="6" s="1"/>
  <c r="BH25" i="6" s="1"/>
  <c r="AU26" i="6"/>
  <c r="AT26" i="6" s="1"/>
  <c r="AR26" i="6" s="1"/>
  <c r="BH26" i="6" s="1"/>
  <c r="AU27" i="6"/>
  <c r="AT27" i="6" s="1"/>
  <c r="AR27" i="6" s="1"/>
  <c r="BH27" i="6" s="1"/>
  <c r="BI27" i="6" s="1"/>
  <c r="AU28" i="6"/>
  <c r="AT28" i="6" s="1"/>
  <c r="AR28" i="6" s="1"/>
  <c r="BH28" i="6" s="1"/>
  <c r="BI28" i="6" s="1"/>
  <c r="AU29" i="6"/>
  <c r="AT29" i="6"/>
  <c r="AR29" i="6" s="1"/>
  <c r="BH29" i="6" s="1"/>
  <c r="BI29" i="6" s="1"/>
  <c r="AU30" i="6"/>
  <c r="AT30" i="6" s="1"/>
  <c r="V30" i="6" s="1"/>
  <c r="AU31" i="6"/>
  <c r="AT31" i="6" s="1"/>
  <c r="AR31" i="6" s="1"/>
  <c r="BH31" i="6" s="1"/>
  <c r="BI31" i="6" s="1"/>
  <c r="AU32" i="6"/>
  <c r="AT32" i="6" s="1"/>
  <c r="AR32" i="6" s="1"/>
  <c r="BH32" i="6" s="1"/>
  <c r="BI32" i="6" s="1"/>
  <c r="AU33" i="6"/>
  <c r="AT33" i="6"/>
  <c r="V33" i="6" s="1"/>
  <c r="AU34" i="6"/>
  <c r="AT34" i="6" s="1"/>
  <c r="V34" i="6" s="1"/>
  <c r="AU35" i="6"/>
  <c r="AT35" i="6"/>
  <c r="AR35" i="6" s="1"/>
  <c r="BH35" i="6" s="1"/>
  <c r="BI35" i="6" s="1"/>
  <c r="AU36" i="6"/>
  <c r="AT36" i="6" s="1"/>
  <c r="AR36" i="6" s="1"/>
  <c r="BH36" i="6" s="1"/>
  <c r="BI36" i="6" s="1"/>
  <c r="AU37" i="6"/>
  <c r="AT37" i="6"/>
  <c r="AR37" i="6" s="1"/>
  <c r="BH37" i="6" s="1"/>
  <c r="BI37" i="6" s="1"/>
  <c r="AU38" i="6"/>
  <c r="AT38" i="6" s="1"/>
  <c r="V38" i="6" s="1"/>
  <c r="AU39" i="6"/>
  <c r="AT39" i="6"/>
  <c r="AR39" i="6" s="1"/>
  <c r="BH39" i="6" s="1"/>
  <c r="BI39" i="6" s="1"/>
  <c r="AU40" i="6"/>
  <c r="AT40" i="6" s="1"/>
  <c r="AR40" i="6" s="1"/>
  <c r="BH40" i="6" s="1"/>
  <c r="BI40" i="6" s="1"/>
  <c r="AU19" i="6"/>
  <c r="AT19" i="6" s="1"/>
  <c r="AI78" i="6"/>
  <c r="AI79" i="6"/>
  <c r="AI80" i="6"/>
  <c r="AL78" i="6"/>
  <c r="AL79" i="6"/>
  <c r="AL80" i="6"/>
  <c r="AI81" i="6"/>
  <c r="AL81" i="6"/>
  <c r="AI82" i="6"/>
  <c r="AL82" i="6"/>
  <c r="AI83" i="6"/>
  <c r="AL83" i="6"/>
  <c r="AI84" i="6"/>
  <c r="AL84" i="6"/>
  <c r="AI85" i="6"/>
  <c r="AL85" i="6"/>
  <c r="AI86" i="6"/>
  <c r="AL86" i="6"/>
  <c r="AI87" i="6"/>
  <c r="AL87" i="6"/>
  <c r="AI88" i="6"/>
  <c r="AL88" i="6"/>
  <c r="AI89" i="6"/>
  <c r="AL89" i="6"/>
  <c r="AI90" i="6"/>
  <c r="AL90" i="6"/>
  <c r="AI91" i="6"/>
  <c r="AL91" i="6"/>
  <c r="AI92" i="6"/>
  <c r="AL92" i="6"/>
  <c r="AI93" i="6"/>
  <c r="AL93" i="6"/>
  <c r="AI94" i="6"/>
  <c r="AL94" i="6"/>
  <c r="AI95" i="6"/>
  <c r="AL95" i="6"/>
  <c r="AI96" i="6"/>
  <c r="AL96" i="6"/>
  <c r="AI97" i="6"/>
  <c r="AL97" i="6"/>
  <c r="AI98" i="6"/>
  <c r="AL98" i="6"/>
  <c r="AI99" i="6"/>
  <c r="AL99" i="6"/>
  <c r="AI100" i="6"/>
  <c r="AL100" i="6"/>
  <c r="AI101" i="6"/>
  <c r="AL101" i="6"/>
  <c r="AI102" i="6"/>
  <c r="AL102" i="6"/>
  <c r="AI103" i="6"/>
  <c r="AL103" i="6"/>
  <c r="AI104" i="6"/>
  <c r="AL104" i="6"/>
  <c r="AI105" i="6"/>
  <c r="AL105" i="6"/>
  <c r="AI106" i="6"/>
  <c r="AL106" i="6"/>
  <c r="AI107" i="6"/>
  <c r="AL107" i="6"/>
  <c r="AI108" i="6"/>
  <c r="AL108" i="6"/>
  <c r="AI109" i="6"/>
  <c r="AL109" i="6"/>
  <c r="AM108" i="6"/>
  <c r="AR108" i="6"/>
  <c r="AM109" i="6"/>
  <c r="AR109" i="6"/>
  <c r="AM87" i="6"/>
  <c r="AR87" i="6"/>
  <c r="AM88" i="6"/>
  <c r="AR88" i="6"/>
  <c r="AM89" i="6"/>
  <c r="AR89" i="6"/>
  <c r="AM90" i="6"/>
  <c r="AR90" i="6"/>
  <c r="AM91" i="6"/>
  <c r="AR91" i="6"/>
  <c r="AM92" i="6"/>
  <c r="AR92" i="6"/>
  <c r="AM93" i="6"/>
  <c r="AR93" i="6"/>
  <c r="AM94" i="6"/>
  <c r="AR94" i="6"/>
  <c r="AM95" i="6"/>
  <c r="AR95" i="6"/>
  <c r="AM96" i="6"/>
  <c r="AR96" i="6"/>
  <c r="AM97" i="6"/>
  <c r="AR97" i="6"/>
  <c r="AM98" i="6"/>
  <c r="AR98" i="6"/>
  <c r="AM99" i="6"/>
  <c r="AR99" i="6"/>
  <c r="AM100" i="6"/>
  <c r="AR100" i="6"/>
  <c r="AM101" i="6"/>
  <c r="AR101" i="6"/>
  <c r="AM102" i="6"/>
  <c r="AR102" i="6"/>
  <c r="AM103" i="6"/>
  <c r="AR103" i="6"/>
  <c r="AM104" i="6"/>
  <c r="AR104" i="6"/>
  <c r="AM105" i="6"/>
  <c r="AR105" i="6"/>
  <c r="AM106" i="6"/>
  <c r="AR106" i="6"/>
  <c r="AM107" i="6"/>
  <c r="AR107" i="6"/>
  <c r="AM86" i="6"/>
  <c r="AR86" i="6"/>
  <c r="J22" i="6"/>
  <c r="AW22" i="6" s="1"/>
  <c r="H27" i="6"/>
  <c r="J27" i="6"/>
  <c r="AW27" i="6" s="1"/>
  <c r="P27" i="6"/>
  <c r="P28" i="6"/>
  <c r="H29" i="6"/>
  <c r="AX29" i="6" s="1"/>
  <c r="J29" i="6"/>
  <c r="AW29" i="6" s="1"/>
  <c r="P29" i="6"/>
  <c r="H30" i="6"/>
  <c r="AX30" i="6" s="1"/>
  <c r="J31" i="6"/>
  <c r="J32" i="6"/>
  <c r="AW32" i="6" s="1"/>
  <c r="P32" i="6"/>
  <c r="H33" i="6"/>
  <c r="AX33" i="6" s="1"/>
  <c r="J33" i="6"/>
  <c r="AW33" i="6" s="1"/>
  <c r="P33" i="6"/>
  <c r="H35" i="6"/>
  <c r="J35" i="6"/>
  <c r="AW35" i="6" s="1"/>
  <c r="P35" i="6"/>
  <c r="H38" i="6"/>
  <c r="AX38" i="6" s="1"/>
  <c r="H39" i="6"/>
  <c r="J39" i="6"/>
  <c r="P39" i="6"/>
  <c r="J40" i="6"/>
  <c r="AW40" i="6" s="1"/>
  <c r="P40" i="6"/>
  <c r="H41" i="6"/>
  <c r="AX41" i="6" s="1"/>
  <c r="J41" i="6"/>
  <c r="AW41" i="6" s="1"/>
  <c r="P41" i="6"/>
  <c r="AI47" i="6"/>
  <c r="AI46" i="6"/>
  <c r="AI45" i="6"/>
  <c r="AJ45" i="6"/>
  <c r="O42" i="6"/>
  <c r="L42" i="6"/>
  <c r="I42" i="6"/>
  <c r="G42" i="6"/>
  <c r="AW31" i="6"/>
  <c r="AW39" i="6"/>
  <c r="AK20" i="6"/>
  <c r="AJ68" i="6"/>
  <c r="BF10" i="6" s="1"/>
  <c r="AV27" i="6"/>
  <c r="AV28" i="6"/>
  <c r="AV29" i="6"/>
  <c r="AV30" i="6"/>
  <c r="AV19" i="6"/>
  <c r="AV20" i="6"/>
  <c r="AV21" i="6"/>
  <c r="AV22" i="6"/>
  <c r="AV23" i="6"/>
  <c r="AV24" i="6"/>
  <c r="AV25" i="6"/>
  <c r="AV26" i="6"/>
  <c r="AV31" i="6"/>
  <c r="AV32" i="6"/>
  <c r="AV33" i="6"/>
  <c r="AV34" i="6"/>
  <c r="AV35" i="6"/>
  <c r="AV36" i="6"/>
  <c r="AV37" i="6"/>
  <c r="AV38" i="6"/>
  <c r="AV39" i="6"/>
  <c r="AV40" i="6"/>
  <c r="AV41" i="6"/>
  <c r="AK27" i="6"/>
  <c r="AX27" i="6"/>
  <c r="AK28" i="6"/>
  <c r="AK29" i="6"/>
  <c r="AK30" i="6"/>
  <c r="AJ47" i="6"/>
  <c r="AK21" i="6"/>
  <c r="AJ46" i="6"/>
  <c r="AK22" i="6"/>
  <c r="AK23" i="6"/>
  <c r="AK24" i="6"/>
  <c r="AK25" i="6"/>
  <c r="AK26" i="6"/>
  <c r="AK31" i="6"/>
  <c r="AK32" i="6"/>
  <c r="AK33" i="6"/>
  <c r="AK34" i="6"/>
  <c r="AK35" i="6"/>
  <c r="AX35" i="6"/>
  <c r="AK36" i="6"/>
  <c r="AK37" i="6"/>
  <c r="AK38" i="6"/>
  <c r="AK39" i="6"/>
  <c r="AX39" i="6"/>
  <c r="AK40" i="6"/>
  <c r="AK41" i="6"/>
  <c r="AJ61" i="6"/>
  <c r="AZ80" i="6" s="1"/>
  <c r="AY10" i="6"/>
  <c r="AY19" i="6" s="1"/>
  <c r="AY27" i="6"/>
  <c r="AY30" i="6"/>
  <c r="AY22" i="6"/>
  <c r="AY35" i="6"/>
  <c r="AY38" i="6"/>
  <c r="AJ62" i="6"/>
  <c r="AZ114" i="6" s="1"/>
  <c r="AJ63" i="6"/>
  <c r="BA10" i="6" s="1"/>
  <c r="BA27" i="6" s="1"/>
  <c r="BA28" i="6"/>
  <c r="BA29" i="6"/>
  <c r="BA19" i="6"/>
  <c r="BA21" i="6"/>
  <c r="BA23" i="6"/>
  <c r="BA24" i="6"/>
  <c r="BA26" i="6"/>
  <c r="BA31" i="6"/>
  <c r="BA32" i="6"/>
  <c r="BA34" i="6"/>
  <c r="BA35" i="6"/>
  <c r="BA36" i="6"/>
  <c r="BA38" i="6"/>
  <c r="BA39" i="6"/>
  <c r="BA40" i="6"/>
  <c r="AJ64" i="6"/>
  <c r="AZ105" i="6" s="1"/>
  <c r="BB10" i="6"/>
  <c r="BB30" i="6"/>
  <c r="BB34" i="6"/>
  <c r="BB38" i="6"/>
  <c r="AJ65" i="6"/>
  <c r="AJ67" i="6"/>
  <c r="BE10" i="6" s="1"/>
  <c r="BE20" i="6" s="1"/>
  <c r="AJ66" i="6"/>
  <c r="BD10" i="6" s="1"/>
  <c r="AJ73" i="6"/>
  <c r="AJ72" i="6"/>
  <c r="AZ78" i="6" s="1"/>
  <c r="AW10" i="6"/>
  <c r="AJ71" i="6"/>
  <c r="AI68" i="6"/>
  <c r="BF18" i="6" s="1"/>
  <c r="AI67" i="6"/>
  <c r="AY119" i="6" s="1"/>
  <c r="AI66" i="6"/>
  <c r="BD18" i="6"/>
  <c r="AI65" i="6"/>
  <c r="AY139" i="6" s="1"/>
  <c r="AI64" i="6"/>
  <c r="AY127" i="6" s="1"/>
  <c r="BB18" i="6"/>
  <c r="AI63" i="6"/>
  <c r="AY126" i="6" s="1"/>
  <c r="AI62" i="6"/>
  <c r="AZ18" i="6"/>
  <c r="AI61" i="6"/>
  <c r="AI73" i="6"/>
  <c r="AY112" i="6" s="1"/>
  <c r="AX18" i="6"/>
  <c r="AI72" i="6"/>
  <c r="AY122" i="6" s="1"/>
  <c r="AI71" i="6"/>
  <c r="AY99" i="6" s="1"/>
  <c r="AV18" i="6"/>
  <c r="AY79" i="6"/>
  <c r="AZ138" i="6"/>
  <c r="AZ135" i="6"/>
  <c r="AZ133" i="6"/>
  <c r="AY132" i="6"/>
  <c r="AZ130" i="6"/>
  <c r="AY121" i="6"/>
  <c r="AY123" i="6"/>
  <c r="AZ124" i="6"/>
  <c r="AY125" i="6"/>
  <c r="AZ125" i="6"/>
  <c r="AZ126" i="6"/>
  <c r="AZ127" i="6"/>
  <c r="AY128" i="6"/>
  <c r="AY129" i="6"/>
  <c r="AY131" i="6"/>
  <c r="AZ116" i="6"/>
  <c r="AY116" i="6"/>
  <c r="AZ111" i="6"/>
  <c r="AY113" i="6"/>
  <c r="AZ113" i="6"/>
  <c r="AY114" i="6"/>
  <c r="AZ115" i="6"/>
  <c r="AY118" i="6"/>
  <c r="AZ119" i="6"/>
  <c r="AY120" i="6"/>
  <c r="AZ100" i="6"/>
  <c r="AZ102" i="6"/>
  <c r="AY103" i="6"/>
  <c r="AZ104" i="6"/>
  <c r="AY105" i="6"/>
  <c r="AY107" i="6"/>
  <c r="AZ107" i="6"/>
  <c r="AZ108" i="6"/>
  <c r="AZ97" i="6"/>
  <c r="AY88" i="6"/>
  <c r="AZ89" i="6"/>
  <c r="AY90" i="6"/>
  <c r="AZ91" i="6"/>
  <c r="AY92" i="6"/>
  <c r="AZ93" i="6"/>
  <c r="AY94" i="6"/>
  <c r="AY96" i="6"/>
  <c r="AZ96" i="6"/>
  <c r="AY77" i="6"/>
  <c r="AY81" i="6"/>
  <c r="AZ82" i="6"/>
  <c r="AY83" i="6"/>
  <c r="AZ83" i="6"/>
  <c r="AY85" i="6"/>
  <c r="AZ86" i="6"/>
  <c r="AZ141" i="6"/>
  <c r="AZ140" i="6"/>
  <c r="AY140" i="6"/>
  <c r="AZ137" i="6"/>
  <c r="AZ136" i="6"/>
  <c r="AY136" i="6"/>
  <c r="AY134" i="6"/>
  <c r="AL71" i="6"/>
  <c r="AL72" i="6"/>
  <c r="AL73" i="6"/>
  <c r="AL62" i="6"/>
  <c r="AL63" i="6"/>
  <c r="AL64" i="6"/>
  <c r="AL65" i="6"/>
  <c r="AL66" i="6"/>
  <c r="AL67" i="6"/>
  <c r="AL68" i="6"/>
  <c r="AL61" i="6"/>
  <c r="AR78" i="6"/>
  <c r="AR79" i="6"/>
  <c r="AR80" i="6"/>
  <c r="AR81" i="6"/>
  <c r="AR82" i="6"/>
  <c r="AR83" i="6"/>
  <c r="AR84" i="6"/>
  <c r="AR85" i="6"/>
  <c r="AM78" i="6"/>
  <c r="AM79" i="6"/>
  <c r="AM80" i="6"/>
  <c r="AM81" i="6"/>
  <c r="AM82" i="6"/>
  <c r="AM83" i="6"/>
  <c r="AM84" i="6"/>
  <c r="AM85" i="6"/>
  <c r="AK51" i="6"/>
  <c r="B38" i="7"/>
  <c r="AK52" i="6"/>
  <c r="B39" i="7" s="1"/>
  <c r="AK53" i="6"/>
  <c r="B40" i="7"/>
  <c r="AK54" i="6"/>
  <c r="B41" i="7" s="1"/>
  <c r="AK55" i="6"/>
  <c r="B42" i="7"/>
  <c r="S83" i="6"/>
  <c r="K82" i="6"/>
  <c r="I82" i="6"/>
  <c r="I83" i="6"/>
  <c r="B83" i="6"/>
  <c r="G82" i="6"/>
  <c r="C82" i="6"/>
  <c r="B82" i="6"/>
  <c r="N82" i="6"/>
  <c r="O83" i="6"/>
  <c r="O82" i="6"/>
  <c r="P82" i="6"/>
  <c r="T82" i="6"/>
  <c r="R82" i="6"/>
  <c r="Y81" i="6"/>
  <c r="V82" i="6"/>
  <c r="U82" i="6"/>
  <c r="AC19" i="6" l="1"/>
  <c r="AB19" i="6"/>
  <c r="AI19" i="6" s="1"/>
  <c r="AJ19" i="6" s="1"/>
  <c r="AL19" i="6" s="1"/>
  <c r="H19" i="6" s="1"/>
  <c r="P19" i="6" s="1"/>
  <c r="J19" i="6"/>
  <c r="AW19" i="6" s="1"/>
  <c r="AA19" i="6"/>
  <c r="AE19" i="6"/>
  <c r="BD27" i="6"/>
  <c r="BD26" i="6"/>
  <c r="BD20" i="6"/>
  <c r="BD29" i="6"/>
  <c r="BD25" i="6"/>
  <c r="BD30" i="6"/>
  <c r="BD33" i="6"/>
  <c r="BD34" i="6"/>
  <c r="BD41" i="6"/>
  <c r="BD37" i="6"/>
  <c r="BD38" i="6"/>
  <c r="BD19" i="6"/>
  <c r="BD22" i="6"/>
  <c r="AZ129" i="6"/>
  <c r="P37" i="6"/>
  <c r="AY82" i="6"/>
  <c r="AD30" i="6"/>
  <c r="AY87" i="6"/>
  <c r="AZ81" i="6"/>
  <c r="AY98" i="6"/>
  <c r="AZ118" i="6"/>
  <c r="AY138" i="6"/>
  <c r="AY31" i="6"/>
  <c r="H37" i="6"/>
  <c r="AX37" i="6" s="1"/>
  <c r="AC41" i="6"/>
  <c r="AB37" i="6"/>
  <c r="AI37" i="6" s="1"/>
  <c r="AJ32" i="6"/>
  <c r="AL32" i="6" s="1"/>
  <c r="AD37" i="6"/>
  <c r="AZ103" i="6"/>
  <c r="J37" i="6"/>
  <c r="AW37" i="6" s="1"/>
  <c r="AZ92" i="6"/>
  <c r="AY109" i="6"/>
  <c r="AY110" i="6"/>
  <c r="AZ122" i="6"/>
  <c r="AY26" i="6"/>
  <c r="J36" i="6"/>
  <c r="AW36" i="6" s="1"/>
  <c r="AB41" i="6"/>
  <c r="AI41" i="6" s="1"/>
  <c r="AA37" i="6"/>
  <c r="AE31" i="6"/>
  <c r="AY34" i="6"/>
  <c r="AC37" i="6"/>
  <c r="AZ85" i="6"/>
  <c r="AY101" i="6"/>
  <c r="AY142" i="6"/>
  <c r="AZ10" i="6"/>
  <c r="AY23" i="6"/>
  <c r="AJ27" i="6"/>
  <c r="AL27" i="6" s="1"/>
  <c r="P31" i="6"/>
  <c r="AE38" i="6"/>
  <c r="AC36" i="6"/>
  <c r="AE33" i="6"/>
  <c r="AD31" i="6"/>
  <c r="Z33" i="6"/>
  <c r="AY115" i="6"/>
  <c r="AJ31" i="6"/>
  <c r="AL31" i="6" s="1"/>
  <c r="AC31" i="6"/>
  <c r="AY39" i="6"/>
  <c r="H31" i="6"/>
  <c r="AX31" i="6" s="1"/>
  <c r="AD20" i="6"/>
  <c r="AC24" i="6"/>
  <c r="AB24" i="6"/>
  <c r="AI24" i="6" s="1"/>
  <c r="AE24" i="6"/>
  <c r="AA24" i="6"/>
  <c r="J24" i="6"/>
  <c r="AW24" i="6" s="1"/>
  <c r="AC21" i="6"/>
  <c r="V25" i="6"/>
  <c r="AR24" i="6"/>
  <c r="BH24" i="6" s="1"/>
  <c r="AB25" i="6"/>
  <c r="AI25" i="6" s="1"/>
  <c r="V23" i="6"/>
  <c r="AR23" i="6"/>
  <c r="BH23" i="6" s="1"/>
  <c r="AR22" i="6"/>
  <c r="BH22" i="6" s="1"/>
  <c r="J23" i="6"/>
  <c r="AW23" i="6" s="1"/>
  <c r="Z23" i="6"/>
  <c r="AB22" i="6"/>
  <c r="AI22" i="6" s="1"/>
  <c r="AA22" i="6"/>
  <c r="AC22" i="6"/>
  <c r="Z22" i="6"/>
  <c r="AE22" i="6"/>
  <c r="AR21" i="6"/>
  <c r="BH21" i="6" s="1"/>
  <c r="AR19" i="6"/>
  <c r="BH19" i="6" s="1"/>
  <c r="BI26" i="6" s="1"/>
  <c r="V36" i="6"/>
  <c r="AR33" i="6"/>
  <c r="BH33" i="6" s="1"/>
  <c r="BI33" i="6" s="1"/>
  <c r="V22" i="6"/>
  <c r="AR34" i="6"/>
  <c r="BH34" i="6" s="1"/>
  <c r="BI34" i="6" s="1"/>
  <c r="V26" i="6"/>
  <c r="V28" i="6"/>
  <c r="V39" i="6"/>
  <c r="V21" i="6"/>
  <c r="V41" i="6"/>
  <c r="V31" i="6"/>
  <c r="V37" i="6"/>
  <c r="V32" i="6"/>
  <c r="V40" i="6"/>
  <c r="V29" i="6"/>
  <c r="AV10" i="6"/>
  <c r="AZ110" i="6"/>
  <c r="AZ99" i="6"/>
  <c r="AZ88" i="6"/>
  <c r="AZ121" i="6"/>
  <c r="AZ77" i="6"/>
  <c r="AZ132" i="6"/>
  <c r="BE32" i="6"/>
  <c r="BE18" i="6"/>
  <c r="AY130" i="6"/>
  <c r="AY97" i="6"/>
  <c r="AY141" i="6"/>
  <c r="AY108" i="6"/>
  <c r="AY86" i="6"/>
  <c r="BE24" i="6"/>
  <c r="BB27" i="6"/>
  <c r="BB19" i="6"/>
  <c r="BB23" i="6"/>
  <c r="BB31" i="6"/>
  <c r="BB35" i="6"/>
  <c r="BB39" i="6"/>
  <c r="BB29" i="6"/>
  <c r="BB21" i="6"/>
  <c r="BB25" i="6"/>
  <c r="BB33" i="6"/>
  <c r="BB37" i="6"/>
  <c r="BB41" i="6"/>
  <c r="BB28" i="6"/>
  <c r="BB20" i="6"/>
  <c r="BB24" i="6"/>
  <c r="BB32" i="6"/>
  <c r="BB36" i="6"/>
  <c r="BB40" i="6"/>
  <c r="BC18" i="6"/>
  <c r="AY117" i="6"/>
  <c r="AY95" i="6"/>
  <c r="AY84" i="6"/>
  <c r="AY106" i="6"/>
  <c r="BE40" i="6"/>
  <c r="BB26" i="6"/>
  <c r="AY18" i="6"/>
  <c r="AY135" i="6"/>
  <c r="AY102" i="6"/>
  <c r="AY91" i="6"/>
  <c r="BE29" i="6"/>
  <c r="BE21" i="6"/>
  <c r="BE25" i="6"/>
  <c r="BE33" i="6"/>
  <c r="BE37" i="6"/>
  <c r="BE41" i="6"/>
  <c r="BE27" i="6"/>
  <c r="BE19" i="6"/>
  <c r="BE23" i="6"/>
  <c r="BE31" i="6"/>
  <c r="BE35" i="6"/>
  <c r="BE39" i="6"/>
  <c r="BE30" i="6"/>
  <c r="BE22" i="6"/>
  <c r="BE26" i="6"/>
  <c r="BE34" i="6"/>
  <c r="BE38" i="6"/>
  <c r="AY124" i="6"/>
  <c r="AW18" i="6"/>
  <c r="AY133" i="6"/>
  <c r="AY78" i="6"/>
  <c r="AY111" i="6"/>
  <c r="AY100" i="6"/>
  <c r="AY89" i="6"/>
  <c r="AY80" i="6"/>
  <c r="BA18" i="6"/>
  <c r="AY137" i="6"/>
  <c r="AY104" i="6"/>
  <c r="AY93" i="6"/>
  <c r="AX10" i="6"/>
  <c r="AZ101" i="6"/>
  <c r="AZ90" i="6"/>
  <c r="AZ79" i="6"/>
  <c r="AZ123" i="6"/>
  <c r="AZ112" i="6"/>
  <c r="AZ134" i="6"/>
  <c r="BE36" i="6"/>
  <c r="BE28" i="6"/>
  <c r="BC10" i="6"/>
  <c r="AZ84" i="6"/>
  <c r="AZ128" i="6"/>
  <c r="AZ139" i="6"/>
  <c r="AZ106" i="6"/>
  <c r="AZ117" i="6"/>
  <c r="AZ95" i="6"/>
  <c r="BB22" i="6"/>
  <c r="BF30" i="6"/>
  <c r="BF22" i="6"/>
  <c r="BF26" i="6"/>
  <c r="BF34" i="6"/>
  <c r="BF38" i="6"/>
  <c r="BF27" i="6"/>
  <c r="BF19" i="6"/>
  <c r="BF23" i="6"/>
  <c r="BF31" i="6"/>
  <c r="BF35" i="6"/>
  <c r="BF39" i="6"/>
  <c r="BF28" i="6"/>
  <c r="BF24" i="6"/>
  <c r="BF36" i="6"/>
  <c r="BF20" i="6"/>
  <c r="BF32" i="6"/>
  <c r="BF40" i="6"/>
  <c r="BF29" i="6"/>
  <c r="BF25" i="6"/>
  <c r="BF37" i="6"/>
  <c r="BF21" i="6"/>
  <c r="BF33" i="6"/>
  <c r="BF41" i="6"/>
  <c r="AJ40" i="6"/>
  <c r="AL40" i="6" s="1"/>
  <c r="AJ25" i="6"/>
  <c r="AL25" i="6" s="1"/>
  <c r="H25" i="6" s="1"/>
  <c r="AX25" i="6" s="1"/>
  <c r="Z34" i="6"/>
  <c r="AB34" i="6"/>
  <c r="AI34" i="6" s="1"/>
  <c r="AJ34" i="6" s="1"/>
  <c r="AL34" i="6" s="1"/>
  <c r="J34" i="6"/>
  <c r="AW34" i="6" s="1"/>
  <c r="AC34" i="6"/>
  <c r="P34" i="6"/>
  <c r="Z26" i="6"/>
  <c r="AB26" i="6"/>
  <c r="AI26" i="6" s="1"/>
  <c r="AJ26" i="6" s="1"/>
  <c r="AL26" i="6" s="1"/>
  <c r="H26" i="6" s="1"/>
  <c r="AC26" i="6"/>
  <c r="V35" i="6"/>
  <c r="BD40" i="6"/>
  <c r="BD36" i="6"/>
  <c r="BD32" i="6"/>
  <c r="BD28" i="6"/>
  <c r="AZ98" i="6"/>
  <c r="BA41" i="6"/>
  <c r="BA37" i="6"/>
  <c r="BA33" i="6"/>
  <c r="BA25" i="6"/>
  <c r="BA20" i="6"/>
  <c r="AZ38" i="6"/>
  <c r="AZ33" i="6"/>
  <c r="AY28" i="6"/>
  <c r="AY20" i="6"/>
  <c r="AY24" i="6"/>
  <c r="AY32" i="6"/>
  <c r="AY36" i="6"/>
  <c r="AY40" i="6"/>
  <c r="AY29" i="6"/>
  <c r="AY21" i="6"/>
  <c r="AY25" i="6"/>
  <c r="AY33" i="6"/>
  <c r="AY37" i="6"/>
  <c r="AY41" i="6"/>
  <c r="AR38" i="6"/>
  <c r="BH38" i="6" s="1"/>
  <c r="BI38" i="6" s="1"/>
  <c r="AR30" i="6"/>
  <c r="BH30" i="6" s="1"/>
  <c r="BI30" i="6" s="1"/>
  <c r="J28" i="6"/>
  <c r="AW28" i="6" s="1"/>
  <c r="AJ22" i="6"/>
  <c r="AL22" i="6" s="1"/>
  <c r="H22" i="6" s="1"/>
  <c r="AJ37" i="6"/>
  <c r="AL37" i="6" s="1"/>
  <c r="AD26" i="6"/>
  <c r="Z38" i="6"/>
  <c r="AB38" i="6"/>
  <c r="AI38" i="6" s="1"/>
  <c r="AJ38" i="6" s="1"/>
  <c r="AL38" i="6" s="1"/>
  <c r="J38" i="6"/>
  <c r="AW38" i="6" s="1"/>
  <c r="AC38" i="6"/>
  <c r="P38" i="6"/>
  <c r="Z30" i="6"/>
  <c r="AB30" i="6"/>
  <c r="AI30" i="6" s="1"/>
  <c r="AJ30" i="6" s="1"/>
  <c r="AL30" i="6" s="1"/>
  <c r="J30" i="6"/>
  <c r="AW30" i="6" s="1"/>
  <c r="AC30" i="6"/>
  <c r="P30" i="6"/>
  <c r="AJ29" i="6"/>
  <c r="AL29" i="6" s="1"/>
  <c r="AJ24" i="6"/>
  <c r="AL24" i="6" s="1"/>
  <c r="H24" i="6" s="1"/>
  <c r="AZ120" i="6"/>
  <c r="AZ27" i="6"/>
  <c r="AZ19" i="6"/>
  <c r="AZ23" i="6"/>
  <c r="AZ31" i="6"/>
  <c r="AZ35" i="6"/>
  <c r="AZ39" i="6"/>
  <c r="AZ28" i="6"/>
  <c r="AZ20" i="6"/>
  <c r="AZ24" i="6"/>
  <c r="AZ32" i="6"/>
  <c r="AL36" i="6"/>
  <c r="AJ39" i="6"/>
  <c r="AL39" i="6" s="1"/>
  <c r="J26" i="6"/>
  <c r="AW26" i="6" s="1"/>
  <c r="AA34" i="6"/>
  <c r="AJ33" i="6"/>
  <c r="AL33" i="6" s="1"/>
  <c r="AE26" i="6"/>
  <c r="Z36" i="6"/>
  <c r="AD36" i="6"/>
  <c r="AA36" i="6"/>
  <c r="AE36" i="6"/>
  <c r="H36" i="6"/>
  <c r="AX36" i="6" s="1"/>
  <c r="Z28" i="6"/>
  <c r="AD28" i="6"/>
  <c r="AA28" i="6"/>
  <c r="AE28" i="6"/>
  <c r="H28" i="6"/>
  <c r="AX28" i="6" s="1"/>
  <c r="AA23" i="6"/>
  <c r="AE23" i="6"/>
  <c r="AB23" i="6"/>
  <c r="AI23" i="6" s="1"/>
  <c r="AJ23" i="6" s="1"/>
  <c r="AL23" i="6" s="1"/>
  <c r="H23" i="6" s="1"/>
  <c r="AX23" i="6" s="1"/>
  <c r="V24" i="6"/>
  <c r="BD23" i="6"/>
  <c r="BD21" i="6"/>
  <c r="V27" i="6"/>
  <c r="BD24" i="6"/>
  <c r="BD39" i="6"/>
  <c r="BD35" i="6"/>
  <c r="BD31" i="6"/>
  <c r="AZ87" i="6"/>
  <c r="AZ94" i="6"/>
  <c r="AZ109" i="6"/>
  <c r="AZ131" i="6"/>
  <c r="AZ142" i="6"/>
  <c r="BA30" i="6"/>
  <c r="BA22" i="6"/>
  <c r="AZ37" i="6"/>
  <c r="AZ26" i="6"/>
  <c r="AZ30" i="6"/>
  <c r="P36" i="6"/>
  <c r="H34" i="6"/>
  <c r="AX34" i="6" s="1"/>
  <c r="AJ41" i="6"/>
  <c r="AL41" i="6" s="1"/>
  <c r="AE34" i="6"/>
  <c r="AB28" i="6"/>
  <c r="AI28" i="6" s="1"/>
  <c r="AJ28" i="6" s="1"/>
  <c r="AL28" i="6" s="1"/>
  <c r="AA26" i="6"/>
  <c r="AC23" i="6"/>
  <c r="Z40" i="6"/>
  <c r="AD40" i="6"/>
  <c r="AA40" i="6"/>
  <c r="AE40" i="6"/>
  <c r="H40" i="6"/>
  <c r="AX40" i="6" s="1"/>
  <c r="Z32" i="6"/>
  <c r="AD32" i="6"/>
  <c r="AA32" i="6"/>
  <c r="AE32" i="6"/>
  <c r="H32" i="6"/>
  <c r="AX32" i="6" s="1"/>
  <c r="J20" i="6"/>
  <c r="AW20" i="6" s="1"/>
  <c r="AC20" i="6"/>
  <c r="AR20" i="6"/>
  <c r="BH20" i="6" s="1"/>
  <c r="J21" i="6"/>
  <c r="AW21" i="6" s="1"/>
  <c r="AD21" i="6"/>
  <c r="AB20" i="6"/>
  <c r="AI20" i="6" s="1"/>
  <c r="AJ20" i="6" s="1"/>
  <c r="AL20" i="6" s="1"/>
  <c r="H20" i="6" s="1"/>
  <c r="AB21" i="6"/>
  <c r="AI21" i="6" s="1"/>
  <c r="AJ21" i="6" s="1"/>
  <c r="AL21" i="6" s="1"/>
  <c r="H21" i="6" s="1"/>
  <c r="AE21" i="6"/>
  <c r="V19" i="6"/>
  <c r="AH42" i="6"/>
  <c r="AD25" i="6"/>
  <c r="J25" i="6"/>
  <c r="AE25" i="6"/>
  <c r="AC25" i="6"/>
  <c r="AA25" i="6"/>
  <c r="AZ21" i="6" l="1"/>
  <c r="AZ40" i="6"/>
  <c r="AZ41" i="6"/>
  <c r="AZ29" i="6"/>
  <c r="AZ36" i="6"/>
  <c r="AZ22" i="6"/>
  <c r="AZ25" i="6"/>
  <c r="AZ34" i="6"/>
  <c r="AX26" i="6"/>
  <c r="P26" i="6"/>
  <c r="BI24" i="6"/>
  <c r="BI25" i="6"/>
  <c r="AX24" i="6"/>
  <c r="P24" i="6"/>
  <c r="BI22" i="6"/>
  <c r="BI23" i="6"/>
  <c r="P23" i="6"/>
  <c r="AX22" i="6"/>
  <c r="P22" i="6"/>
  <c r="BI21" i="6"/>
  <c r="AX19" i="6"/>
  <c r="BI19" i="6"/>
  <c r="BI20" i="6"/>
  <c r="AQ48" i="6" s="1"/>
  <c r="AR47" i="6" s="1"/>
  <c r="BD48" i="6"/>
  <c r="BB96" i="6" s="1"/>
  <c r="BD51" i="6"/>
  <c r="BD66" i="6" s="1"/>
  <c r="BD67" i="6" s="1"/>
  <c r="BD68" i="6" s="1"/>
  <c r="AX129" i="6" s="1"/>
  <c r="BD49" i="6"/>
  <c r="BD60" i="6" s="1"/>
  <c r="BD61" i="6" s="1"/>
  <c r="BD62" i="6" s="1"/>
  <c r="AX107" i="6" s="1"/>
  <c r="BD47" i="6"/>
  <c r="BB85" i="6" s="1"/>
  <c r="BD52" i="6"/>
  <c r="BD69" i="6" s="1"/>
  <c r="BD70" i="6" s="1"/>
  <c r="BD71" i="6" s="1"/>
  <c r="AX140" i="6" s="1"/>
  <c r="BD50" i="6"/>
  <c r="BB118" i="6" s="1"/>
  <c r="P20" i="6"/>
  <c r="BC30" i="6"/>
  <c r="BC22" i="6"/>
  <c r="BC26" i="6"/>
  <c r="BC34" i="6"/>
  <c r="BC38" i="6"/>
  <c r="BC28" i="6"/>
  <c r="BC20" i="6"/>
  <c r="BC24" i="6"/>
  <c r="BC32" i="6"/>
  <c r="BC36" i="6"/>
  <c r="BC40" i="6"/>
  <c r="BC27" i="6"/>
  <c r="BC19" i="6"/>
  <c r="BC23" i="6"/>
  <c r="BC31" i="6"/>
  <c r="BC35" i="6"/>
  <c r="BC39" i="6"/>
  <c r="BC33" i="6"/>
  <c r="BC29" i="6"/>
  <c r="BC37" i="6"/>
  <c r="BC21" i="6"/>
  <c r="BC41" i="6"/>
  <c r="BC25" i="6"/>
  <c r="AX20" i="6"/>
  <c r="P21" i="6"/>
  <c r="AX21" i="6"/>
  <c r="H42" i="6"/>
  <c r="Z42" i="6"/>
  <c r="E14" i="6" s="1"/>
  <c r="K12" i="6"/>
  <c r="F12" i="6"/>
  <c r="J42" i="6"/>
  <c r="AW25" i="6"/>
  <c r="P25" i="6"/>
  <c r="BD57" i="6" l="1"/>
  <c r="BD58" i="6" s="1"/>
  <c r="BD59" i="6" s="1"/>
  <c r="AX96" i="6" s="1"/>
  <c r="BB107" i="6"/>
  <c r="BB129" i="6"/>
  <c r="BD63" i="6"/>
  <c r="BD64" i="6" s="1"/>
  <c r="BD65" i="6" s="1"/>
  <c r="AX118" i="6" s="1"/>
  <c r="BD45" i="6"/>
  <c r="BD54" i="6"/>
  <c r="BD55" i="6" s="1"/>
  <c r="BD56" i="6" s="1"/>
  <c r="AX85" i="6" s="1"/>
  <c r="AQ49" i="6"/>
  <c r="AQ50" i="6" s="1"/>
  <c r="BB140" i="6"/>
  <c r="P42" i="6"/>
  <c r="AZ47" i="6"/>
  <c r="AY47" i="6"/>
  <c r="BE47" i="6"/>
  <c r="BB47" i="6"/>
  <c r="BF47" i="6"/>
  <c r="AU47" i="6"/>
  <c r="C47" i="6" s="1"/>
  <c r="AV47" i="6"/>
  <c r="BA47" i="6"/>
  <c r="AW47" i="6"/>
  <c r="BC47" i="6"/>
  <c r="AT47" i="6"/>
  <c r="B47" i="6" s="1"/>
  <c r="AX47" i="6"/>
  <c r="AR48" i="6" l="1"/>
  <c r="BF48" i="6" s="1"/>
  <c r="AX54" i="6"/>
  <c r="AX55" i="6" s="1"/>
  <c r="AX56" i="6" s="1"/>
  <c r="AX79" i="6" s="1"/>
  <c r="BB79" i="6"/>
  <c r="AV54" i="6"/>
  <c r="AV55" i="6" s="1"/>
  <c r="AV56" i="6" s="1"/>
  <c r="BB77" i="6"/>
  <c r="BH47" i="6"/>
  <c r="G47" i="6" s="1"/>
  <c r="BE54" i="6"/>
  <c r="BE55" i="6" s="1"/>
  <c r="BE56" i="6" s="1"/>
  <c r="AX86" i="6" s="1"/>
  <c r="BB86" i="6"/>
  <c r="BA54" i="6"/>
  <c r="BA55" i="6" s="1"/>
  <c r="BA56" i="6" s="1"/>
  <c r="AX82" i="6" s="1"/>
  <c r="BB82" i="6"/>
  <c r="BB84" i="6"/>
  <c r="BC54" i="6"/>
  <c r="BC55" i="6" s="1"/>
  <c r="BC56" i="6" s="1"/>
  <c r="AX84" i="6" s="1"/>
  <c r="BB80" i="6"/>
  <c r="AY54" i="6"/>
  <c r="AY55" i="6" s="1"/>
  <c r="AY56" i="6" s="1"/>
  <c r="AX80" i="6" s="1"/>
  <c r="BB83" i="6"/>
  <c r="BB54" i="6"/>
  <c r="BB55" i="6" s="1"/>
  <c r="BB56" i="6" s="1"/>
  <c r="AX83" i="6" s="1"/>
  <c r="AQ51" i="6"/>
  <c r="AR49" i="6"/>
  <c r="AW54" i="6"/>
  <c r="AW55" i="6" s="1"/>
  <c r="BB78" i="6"/>
  <c r="BB87" i="6"/>
  <c r="BF54" i="6"/>
  <c r="BF55" i="6" s="1"/>
  <c r="BF56" i="6" s="1"/>
  <c r="AX87" i="6" s="1"/>
  <c r="AZ54" i="6"/>
  <c r="AZ55" i="6" s="1"/>
  <c r="AZ56" i="6" s="1"/>
  <c r="AX81" i="6" s="1"/>
  <c r="BB81" i="6"/>
  <c r="AU48" i="6" l="1"/>
  <c r="C49" i="6" s="1"/>
  <c r="BA48" i="6"/>
  <c r="AX48" i="6"/>
  <c r="AX57" i="6" s="1"/>
  <c r="AX58" i="6" s="1"/>
  <c r="AW48" i="6"/>
  <c r="BC48" i="6"/>
  <c r="BB95" i="6" s="1"/>
  <c r="BB48" i="6"/>
  <c r="BB94" i="6" s="1"/>
  <c r="AZ48" i="6"/>
  <c r="AZ57" i="6" s="1"/>
  <c r="AZ58" i="6" s="1"/>
  <c r="AZ59" i="6" s="1"/>
  <c r="AX92" i="6" s="1"/>
  <c r="AY48" i="6"/>
  <c r="BB91" i="6" s="1"/>
  <c r="BE48" i="6"/>
  <c r="BB97" i="6" s="1"/>
  <c r="AV48" i="6"/>
  <c r="AV57" i="6" s="1"/>
  <c r="AV58" i="6" s="1"/>
  <c r="AV59" i="6" s="1"/>
  <c r="AT48" i="6"/>
  <c r="B49" i="6" s="1"/>
  <c r="AW56" i="6"/>
  <c r="AX78" i="6" s="1"/>
  <c r="AX49" i="6"/>
  <c r="AT49" i="6"/>
  <c r="B51" i="6" s="1"/>
  <c r="BE49" i="6"/>
  <c r="BC49" i="6"/>
  <c r="BA49" i="6"/>
  <c r="AY49" i="6"/>
  <c r="AV49" i="6"/>
  <c r="AZ49" i="6"/>
  <c r="AU49" i="6"/>
  <c r="C51" i="6" s="1"/>
  <c r="BB49" i="6"/>
  <c r="BF49" i="6"/>
  <c r="AW49" i="6"/>
  <c r="AX77" i="6"/>
  <c r="AR50" i="6"/>
  <c r="AQ52" i="6"/>
  <c r="BA57" i="6"/>
  <c r="BA58" i="6" s="1"/>
  <c r="BA59" i="6" s="1"/>
  <c r="AX93" i="6" s="1"/>
  <c r="BB93" i="6"/>
  <c r="BB98" i="6"/>
  <c r="BF57" i="6"/>
  <c r="BF58" i="6" s="1"/>
  <c r="BF59" i="6" s="1"/>
  <c r="AX98" i="6" s="1"/>
  <c r="BB90" i="6" l="1"/>
  <c r="BE57" i="6"/>
  <c r="BE58" i="6" s="1"/>
  <c r="BE59" i="6" s="1"/>
  <c r="AX97" i="6" s="1"/>
  <c r="BB92" i="6"/>
  <c r="AW57" i="6"/>
  <c r="AW58" i="6" s="1"/>
  <c r="AY57" i="6"/>
  <c r="AY58" i="6" s="1"/>
  <c r="AY59" i="6" s="1"/>
  <c r="AX91" i="6" s="1"/>
  <c r="BB89" i="6"/>
  <c r="BH56" i="6"/>
  <c r="U48" i="6" s="1"/>
  <c r="BB88" i="6"/>
  <c r="BB57" i="6"/>
  <c r="BB58" i="6" s="1"/>
  <c r="BB59" i="6" s="1"/>
  <c r="AX94" i="6" s="1"/>
  <c r="BC57" i="6"/>
  <c r="BC58" i="6" s="1"/>
  <c r="BC59" i="6" s="1"/>
  <c r="AX95" i="6" s="1"/>
  <c r="BH48" i="6"/>
  <c r="G49" i="6" s="1"/>
  <c r="AX59" i="6"/>
  <c r="AX90" i="6" s="1"/>
  <c r="BE50" i="6"/>
  <c r="BC50" i="6"/>
  <c r="AY50" i="6"/>
  <c r="AV50" i="6"/>
  <c r="AZ50" i="6"/>
  <c r="BF50" i="6"/>
  <c r="AW50" i="6"/>
  <c r="BA50" i="6"/>
  <c r="AU50" i="6"/>
  <c r="C53" i="6" s="1"/>
  <c r="AT50" i="6"/>
  <c r="B53" i="6" s="1"/>
  <c r="AX50" i="6"/>
  <c r="BB50" i="6"/>
  <c r="BB60" i="6"/>
  <c r="BB61" i="6" s="1"/>
  <c r="BB62" i="6" s="1"/>
  <c r="AX105" i="6" s="1"/>
  <c r="BB105" i="6"/>
  <c r="BB102" i="6"/>
  <c r="AY60" i="6"/>
  <c r="AY61" i="6" s="1"/>
  <c r="AY62" i="6" s="1"/>
  <c r="AX102" i="6" s="1"/>
  <c r="AX88" i="6"/>
  <c r="BA60" i="6"/>
  <c r="BA61" i="6" s="1"/>
  <c r="BA62" i="6" s="1"/>
  <c r="AX104" i="6" s="1"/>
  <c r="BB104" i="6"/>
  <c r="AX60" i="6"/>
  <c r="AX61" i="6" s="1"/>
  <c r="BB101" i="6"/>
  <c r="BB100" i="6"/>
  <c r="AW60" i="6"/>
  <c r="AW61" i="6" s="1"/>
  <c r="AZ60" i="6"/>
  <c r="AZ61" i="6" s="1"/>
  <c r="AZ62" i="6" s="1"/>
  <c r="AX103" i="6" s="1"/>
  <c r="BB103" i="6"/>
  <c r="BB106" i="6"/>
  <c r="BC60" i="6"/>
  <c r="BC61" i="6" s="1"/>
  <c r="BC62" i="6" s="1"/>
  <c r="AX106" i="6" s="1"/>
  <c r="AR52" i="6"/>
  <c r="AR51" i="6"/>
  <c r="BF60" i="6"/>
  <c r="BF61" i="6" s="1"/>
  <c r="BF62" i="6" s="1"/>
  <c r="AX109" i="6" s="1"/>
  <c r="BB109" i="6"/>
  <c r="AV60" i="6"/>
  <c r="AV61" i="6" s="1"/>
  <c r="AV62" i="6" s="1"/>
  <c r="AX99" i="6" s="1"/>
  <c r="BB99" i="6"/>
  <c r="BH49" i="6"/>
  <c r="G51" i="6" s="1"/>
  <c r="BE60" i="6"/>
  <c r="BE61" i="6" s="1"/>
  <c r="BE62" i="6" s="1"/>
  <c r="AX108" i="6" s="1"/>
  <c r="BB108" i="6"/>
  <c r="AW59" i="6" l="1"/>
  <c r="AX89" i="6" s="1"/>
  <c r="R48" i="6"/>
  <c r="O47" i="6"/>
  <c r="V47" i="6"/>
  <c r="I48" i="6"/>
  <c r="K48" i="6"/>
  <c r="S48" i="6"/>
  <c r="I47" i="6"/>
  <c r="N47" i="6"/>
  <c r="P48" i="6"/>
  <c r="K47" i="6"/>
  <c r="U47" i="6"/>
  <c r="S47" i="6"/>
  <c r="P47" i="6"/>
  <c r="V48" i="6"/>
  <c r="O48" i="6"/>
  <c r="N48" i="6"/>
  <c r="R47" i="6"/>
  <c r="AW62" i="6"/>
  <c r="AX100" i="6" s="1"/>
  <c r="AX62" i="6"/>
  <c r="AX101" i="6" s="1"/>
  <c r="AX52" i="6"/>
  <c r="AZ52" i="6"/>
  <c r="BB52" i="6"/>
  <c r="AU52" i="6"/>
  <c r="C57" i="6" s="1"/>
  <c r="AT52" i="6"/>
  <c r="B57" i="6" s="1"/>
  <c r="BE52" i="6"/>
  <c r="BF52" i="6"/>
  <c r="AV52" i="6"/>
  <c r="AY52" i="6"/>
  <c r="BA52" i="6"/>
  <c r="BC52" i="6"/>
  <c r="AW52" i="6"/>
  <c r="BB63" i="6"/>
  <c r="BB64" i="6" s="1"/>
  <c r="BB65" i="6" s="1"/>
  <c r="AX116" i="6" s="1"/>
  <c r="BB116" i="6"/>
  <c r="BB115" i="6"/>
  <c r="BA63" i="6"/>
  <c r="BA64" i="6" s="1"/>
  <c r="BA65" i="6" s="1"/>
  <c r="AX115" i="6" s="1"/>
  <c r="BB110" i="6"/>
  <c r="AV63" i="6"/>
  <c r="AV64" i="6" s="1"/>
  <c r="AV65" i="6" s="1"/>
  <c r="AX110" i="6" s="1"/>
  <c r="BH50" i="6"/>
  <c r="AX63" i="6"/>
  <c r="AX64" i="6" s="1"/>
  <c r="AX65" i="6" s="1"/>
  <c r="AX112" i="6" s="1"/>
  <c r="BB112" i="6"/>
  <c r="BB111" i="6"/>
  <c r="AW63" i="6"/>
  <c r="AW64" i="6" s="1"/>
  <c r="AW65" i="6" s="1"/>
  <c r="AY63" i="6"/>
  <c r="AY64" i="6" s="1"/>
  <c r="AY65" i="6" s="1"/>
  <c r="AX113" i="6" s="1"/>
  <c r="BB113" i="6"/>
  <c r="G53" i="6"/>
  <c r="BF63" i="6"/>
  <c r="BF64" i="6" s="1"/>
  <c r="BF65" i="6" s="1"/>
  <c r="AX120" i="6" s="1"/>
  <c r="BB120" i="6"/>
  <c r="BC63" i="6"/>
  <c r="BC64" i="6" s="1"/>
  <c r="BC65" i="6" s="1"/>
  <c r="AX117" i="6" s="1"/>
  <c r="BB117" i="6"/>
  <c r="BF51" i="6"/>
  <c r="AW51" i="6"/>
  <c r="BA51" i="6"/>
  <c r="AX51" i="6"/>
  <c r="BB51" i="6"/>
  <c r="AU51" i="6"/>
  <c r="C55" i="6" s="1"/>
  <c r="BE51" i="6"/>
  <c r="AY51" i="6"/>
  <c r="BC51" i="6"/>
  <c r="AT51" i="6"/>
  <c r="B55" i="6" s="1"/>
  <c r="AZ51" i="6"/>
  <c r="AV51" i="6"/>
  <c r="BB114" i="6"/>
  <c r="AZ63" i="6"/>
  <c r="AZ64" i="6" s="1"/>
  <c r="AZ65" i="6" s="1"/>
  <c r="AX114" i="6" s="1"/>
  <c r="BB119" i="6"/>
  <c r="BE63" i="6"/>
  <c r="BE64" i="6" s="1"/>
  <c r="BE65" i="6" s="1"/>
  <c r="AX119" i="6" s="1"/>
  <c r="BH59" i="6" l="1"/>
  <c r="O50" i="6" s="1"/>
  <c r="AV45" i="6"/>
  <c r="BH62" i="6"/>
  <c r="I51" i="6" s="1"/>
  <c r="BB122" i="6"/>
  <c r="AW66" i="6"/>
  <c r="AW67" i="6" s="1"/>
  <c r="AW68" i="6" s="1"/>
  <c r="AX122" i="6" s="1"/>
  <c r="AW45" i="6"/>
  <c r="BB128" i="6"/>
  <c r="BC66" i="6"/>
  <c r="BC67" i="6" s="1"/>
  <c r="BC68" i="6" s="1"/>
  <c r="AX128" i="6" s="1"/>
  <c r="BC45" i="6"/>
  <c r="G55" i="6"/>
  <c r="BB127" i="6"/>
  <c r="BB66" i="6"/>
  <c r="BB67" i="6" s="1"/>
  <c r="BB68" i="6" s="1"/>
  <c r="AX127" i="6" s="1"/>
  <c r="BB132" i="6"/>
  <c r="AV69" i="6"/>
  <c r="AV70" i="6" s="1"/>
  <c r="AV71" i="6" s="1"/>
  <c r="BH52" i="6"/>
  <c r="BB121" i="6"/>
  <c r="AV66" i="6"/>
  <c r="AV67" i="6" s="1"/>
  <c r="AV68" i="6" s="1"/>
  <c r="BH51" i="6"/>
  <c r="BB124" i="6"/>
  <c r="AY66" i="6"/>
  <c r="AY67" i="6" s="1"/>
  <c r="AY68" i="6" s="1"/>
  <c r="AX124" i="6" s="1"/>
  <c r="AY45" i="6"/>
  <c r="BB123" i="6"/>
  <c r="AX66" i="6"/>
  <c r="AX67" i="6" s="1"/>
  <c r="AX68" i="6" s="1"/>
  <c r="AX123" i="6" s="1"/>
  <c r="BB45" i="6"/>
  <c r="BB139" i="6"/>
  <c r="BC69" i="6"/>
  <c r="BC70" i="6" s="1"/>
  <c r="BC71" i="6" s="1"/>
  <c r="AX139" i="6" s="1"/>
  <c r="BF69" i="6"/>
  <c r="BF70" i="6" s="1"/>
  <c r="BF71" i="6" s="1"/>
  <c r="AX142" i="6" s="1"/>
  <c r="BB142" i="6"/>
  <c r="BB138" i="6"/>
  <c r="BB69" i="6"/>
  <c r="BB70" i="6" s="1"/>
  <c r="BB71" i="6" s="1"/>
  <c r="AX138" i="6" s="1"/>
  <c r="BF66" i="6"/>
  <c r="BF67" i="6" s="1"/>
  <c r="BF68" i="6" s="1"/>
  <c r="AX131" i="6" s="1"/>
  <c r="BB131" i="6"/>
  <c r="BF45" i="6"/>
  <c r="BH65" i="6"/>
  <c r="AX111" i="6"/>
  <c r="AW69" i="6"/>
  <c r="AW70" i="6" s="1"/>
  <c r="AW71" i="6" s="1"/>
  <c r="AX133" i="6" s="1"/>
  <c r="BB133" i="6"/>
  <c r="AZ66" i="6"/>
  <c r="AZ67" i="6" s="1"/>
  <c r="AZ68" i="6" s="1"/>
  <c r="AX125" i="6" s="1"/>
  <c r="BB125" i="6"/>
  <c r="AZ45" i="6"/>
  <c r="BE66" i="6"/>
  <c r="BE67" i="6" s="1"/>
  <c r="BE68" i="6" s="1"/>
  <c r="AX130" i="6" s="1"/>
  <c r="BB130" i="6"/>
  <c r="BE45" i="6"/>
  <c r="BA66" i="6"/>
  <c r="BA67" i="6" s="1"/>
  <c r="BA68" i="6" s="1"/>
  <c r="AX126" i="6" s="1"/>
  <c r="BB126" i="6"/>
  <c r="AX45" i="6"/>
  <c r="BB137" i="6"/>
  <c r="BA69" i="6"/>
  <c r="BA70" i="6" s="1"/>
  <c r="BA71" i="6" s="1"/>
  <c r="AX137" i="6" s="1"/>
  <c r="BB141" i="6"/>
  <c r="BE69" i="6"/>
  <c r="BE70" i="6" s="1"/>
  <c r="BE71" i="6" s="1"/>
  <c r="AX141" i="6" s="1"/>
  <c r="AZ69" i="6"/>
  <c r="AZ70" i="6" s="1"/>
  <c r="AZ71" i="6" s="1"/>
  <c r="AX136" i="6" s="1"/>
  <c r="BB136" i="6"/>
  <c r="BA45" i="6"/>
  <c r="BB135" i="6"/>
  <c r="AY69" i="6"/>
  <c r="AY70" i="6" s="1"/>
  <c r="AY71" i="6" s="1"/>
  <c r="AX135" i="6" s="1"/>
  <c r="G57" i="6"/>
  <c r="BB134" i="6"/>
  <c r="AX69" i="6"/>
  <c r="AX70" i="6" s="1"/>
  <c r="AX71" i="6" s="1"/>
  <c r="AX134" i="6" s="1"/>
  <c r="P50" i="6" l="1"/>
  <c r="V49" i="6"/>
  <c r="R49" i="6"/>
  <c r="S50" i="6"/>
  <c r="K50" i="6"/>
  <c r="N50" i="6"/>
  <c r="I49" i="6"/>
  <c r="U49" i="6"/>
  <c r="S49" i="6"/>
  <c r="K49" i="6"/>
  <c r="V50" i="6"/>
  <c r="R50" i="6"/>
  <c r="I50" i="6"/>
  <c r="N49" i="6"/>
  <c r="P49" i="6"/>
  <c r="O49" i="6"/>
  <c r="U50" i="6"/>
  <c r="P51" i="6"/>
  <c r="V52" i="6"/>
  <c r="P52" i="6"/>
  <c r="O52" i="6"/>
  <c r="N51" i="6"/>
  <c r="R51" i="6"/>
  <c r="S51" i="6"/>
  <c r="U51" i="6"/>
  <c r="K51" i="6"/>
  <c r="I52" i="6"/>
  <c r="O51" i="6"/>
  <c r="R52" i="6"/>
  <c r="K52" i="6"/>
  <c r="S52" i="6"/>
  <c r="N52" i="6"/>
  <c r="U52" i="6"/>
  <c r="V51" i="6"/>
  <c r="BH45" i="6"/>
  <c r="AX132" i="6"/>
  <c r="BH71" i="6"/>
  <c r="AX121" i="6"/>
  <c r="BH68" i="6"/>
  <c r="R53" i="6"/>
  <c r="N53" i="6"/>
  <c r="N54" i="6"/>
  <c r="V54" i="6"/>
  <c r="V53" i="6"/>
  <c r="R54" i="6"/>
  <c r="S54" i="6"/>
  <c r="K53" i="6"/>
  <c r="I53" i="6"/>
  <c r="U53" i="6"/>
  <c r="O54" i="6"/>
  <c r="P54" i="6"/>
  <c r="K54" i="6"/>
  <c r="I54" i="6"/>
  <c r="S53" i="6"/>
  <c r="P53" i="6"/>
  <c r="O53" i="6"/>
  <c r="U54" i="6"/>
  <c r="R56" i="6" l="1"/>
  <c r="K55" i="6"/>
  <c r="N56" i="6"/>
  <c r="P55" i="6"/>
  <c r="U55" i="6"/>
  <c r="I56" i="6"/>
  <c r="K56" i="6"/>
  <c r="N55" i="6"/>
  <c r="V56" i="6"/>
  <c r="S55" i="6"/>
  <c r="O56" i="6"/>
  <c r="P56" i="6"/>
  <c r="R55" i="6"/>
  <c r="S56" i="6"/>
  <c r="U56" i="6"/>
  <c r="I55" i="6"/>
  <c r="O55" i="6"/>
  <c r="V55" i="6"/>
  <c r="N57" i="6"/>
  <c r="V58" i="6"/>
  <c r="P57" i="6"/>
  <c r="R58" i="6"/>
  <c r="S57" i="6"/>
  <c r="N58" i="6"/>
  <c r="I58" i="6"/>
  <c r="V57" i="6"/>
  <c r="U57" i="6"/>
  <c r="I57" i="6"/>
  <c r="S58" i="6"/>
  <c r="R57" i="6"/>
  <c r="O58" i="6"/>
  <c r="U58" i="6"/>
  <c r="K57" i="6"/>
  <c r="P58" i="6"/>
  <c r="O57" i="6"/>
  <c r="K58" i="6"/>
</calcChain>
</file>

<file path=xl/sharedStrings.xml><?xml version="1.0" encoding="utf-8"?>
<sst xmlns="http://schemas.openxmlformats.org/spreadsheetml/2006/main" count="339" uniqueCount="223">
  <si>
    <t>Straße:</t>
  </si>
  <si>
    <t>(Datum)</t>
  </si>
  <si>
    <t>(Unterschrift)</t>
  </si>
  <si>
    <t>Formular:</t>
  </si>
  <si>
    <t>Versionsdokumentation</t>
  </si>
  <si>
    <t>Version</t>
  </si>
  <si>
    <t>Datum</t>
  </si>
  <si>
    <t>Autor</t>
  </si>
  <si>
    <t>Aktion / Änderung</t>
  </si>
  <si>
    <t>W. Renz</t>
  </si>
  <si>
    <t>Betrag</t>
  </si>
  <si>
    <t>Bankname:</t>
  </si>
  <si>
    <t>Fehler-Nummer des 1. Fehlers</t>
  </si>
  <si>
    <t>Erstanfertigung</t>
  </si>
  <si>
    <t xml:space="preserve"> Anzahl Einträge in Zeile</t>
  </si>
  <si>
    <t>Anschrift-Feld ist nicht vollständig</t>
  </si>
  <si>
    <t>von</t>
  </si>
  <si>
    <t>bis</t>
  </si>
  <si>
    <t>Dauer</t>
  </si>
  <si>
    <t>hh:mm</t>
  </si>
  <si>
    <t>Fehler-Meldungen</t>
  </si>
  <si>
    <t>Fehler-Menü</t>
  </si>
  <si>
    <t>Eingabefehler:</t>
  </si>
  <si>
    <t>Tischtennis Baden-Württemberg e.V.</t>
  </si>
  <si>
    <t>(siehe unten)</t>
  </si>
  <si>
    <t>Reisekosten Landestrainer - plus</t>
  </si>
  <si>
    <t>Kostenstelle</t>
  </si>
  <si>
    <t>Bankverbindung:</t>
  </si>
  <si>
    <t>Bankverbindung ist nicht vollständig</t>
  </si>
  <si>
    <t>Vorname Name:</t>
  </si>
  <si>
    <t>Datum fehlt oder falsch</t>
  </si>
  <si>
    <t>PLZ, Wohnort:</t>
  </si>
  <si>
    <t>Tagegeld ohne Abzug</t>
  </si>
  <si>
    <t>Abzüge</t>
  </si>
  <si>
    <t>Tagegeld mit Abzug</t>
  </si>
  <si>
    <r>
      <t xml:space="preserve">Zeitraum </t>
    </r>
    <r>
      <rPr>
        <sz val="11"/>
        <rFont val="Arial"/>
        <family val="2"/>
      </rPr>
      <t>- von:</t>
    </r>
  </si>
  <si>
    <t>bis:</t>
  </si>
  <si>
    <t>Reisezeit</t>
  </si>
  <si>
    <t>Tagegeld</t>
  </si>
  <si>
    <t>Fahrtkosten</t>
  </si>
  <si>
    <t>Sonstiges</t>
  </si>
  <si>
    <t>Summe</t>
  </si>
  <si>
    <t>Ja</t>
  </si>
  <si>
    <t>Abz.</t>
  </si>
  <si>
    <t>PKW</t>
  </si>
  <si>
    <t>ÖPNV</t>
  </si>
  <si>
    <t>Einsatzort</t>
  </si>
  <si>
    <t>Bezeichnung</t>
  </si>
  <si>
    <t>Nr.</t>
  </si>
  <si>
    <t>No</t>
  </si>
  <si>
    <t>€,cc</t>
  </si>
  <si>
    <t>km</t>
  </si>
  <si>
    <t>Hotel-Kosten</t>
  </si>
  <si>
    <t>Summe:</t>
  </si>
  <si>
    <t>Summe Einträge</t>
  </si>
  <si>
    <t>Zusammenstellung:</t>
  </si>
  <si>
    <t>Kosten-Stelle</t>
  </si>
  <si>
    <t>Sachkonto</t>
  </si>
  <si>
    <t>ab</t>
  </si>
  <si>
    <t>Fahrtkosten ÖPNV</t>
  </si>
  <si>
    <t>Fahrtkosten PKW</t>
  </si>
  <si>
    <t>Tagegeldabzüge</t>
  </si>
  <si>
    <t>- keine -</t>
  </si>
  <si>
    <t>-</t>
  </si>
  <si>
    <t>MiE / AbE</t>
  </si>
  <si>
    <t>FSt + MiE / AbE</t>
  </si>
  <si>
    <t>MiE + AbE</t>
  </si>
  <si>
    <t>6</t>
  </si>
  <si>
    <t>FStk + MiE + AbE</t>
  </si>
  <si>
    <t xml:space="preserve">    Mit der Unterschrift wird die Richtigkeit bestätigt.</t>
  </si>
  <si>
    <t>LSV-Tagegeldsätze</t>
  </si>
  <si>
    <t>Bei unentgeltlicher Verpflegung sind folgende Kürzungen vorzunehmen:</t>
  </si>
  <si>
    <t xml:space="preserve">Frühstück (20 %) </t>
  </si>
  <si>
    <t>Mittag- und Abendessen (je 40 %)</t>
  </si>
  <si>
    <t>LSV-Fahrkosten</t>
  </si>
  <si>
    <t>je km</t>
  </si>
  <si>
    <t xml:space="preserve">    Überweisung:</t>
  </si>
  <si>
    <t>SK</t>
  </si>
  <si>
    <t>Kostenstellen</t>
  </si>
  <si>
    <t>Beschreibung</t>
  </si>
  <si>
    <t>Gruppe</t>
  </si>
  <si>
    <t>Allg. Sportdirektor: Kader, Personal</t>
  </si>
  <si>
    <t>Allgemein</t>
  </si>
  <si>
    <t>Aus- und Fortbildung</t>
  </si>
  <si>
    <t>LG Landeskader</t>
  </si>
  <si>
    <t>Lehrgang, Landeskader</t>
  </si>
  <si>
    <t>Lehrgänge</t>
  </si>
  <si>
    <t>LG Landes-FöG</t>
  </si>
  <si>
    <t>Lehrgang, Landesfördergruppe</t>
  </si>
  <si>
    <t>LG  3-Stufen DTTB</t>
  </si>
  <si>
    <t>Lehrgänge, 3 Stufen-Projekt DTTB</t>
  </si>
  <si>
    <t>LG TZL BaWü</t>
  </si>
  <si>
    <t>Lehrgang, TZL BaWü</t>
  </si>
  <si>
    <t>TR LaStP Freiburg</t>
  </si>
  <si>
    <t>Training Landesstützpunkt Freiburg</t>
  </si>
  <si>
    <t>Trainingsmaßnahmen</t>
  </si>
  <si>
    <t>TR LaStP Karlsruhe</t>
  </si>
  <si>
    <t>Training Landesstützpunkt Karlsruhe</t>
  </si>
  <si>
    <t>TR LaStP Heilbronn</t>
  </si>
  <si>
    <t>Training Landesstützpunkt Heilbronn</t>
  </si>
  <si>
    <t>C-Lizenz Ausbi</t>
  </si>
  <si>
    <t>C-Lizenz</t>
  </si>
  <si>
    <t>B-Lizenz Ausbi</t>
  </si>
  <si>
    <t>B-Lizenz</t>
  </si>
  <si>
    <t>Mentoren-Ausbi</t>
  </si>
  <si>
    <t>Mentorenausbildung</t>
  </si>
  <si>
    <t>Lehrer-Fobi</t>
  </si>
  <si>
    <t>Lehrerfortbildung</t>
  </si>
  <si>
    <t>C-Trainer-Fobi</t>
  </si>
  <si>
    <t>C-Fortbildung</t>
  </si>
  <si>
    <t>Vereinsservicetag</t>
  </si>
  <si>
    <t>Fü-Sem</t>
  </si>
  <si>
    <t xml:space="preserve">Führungsseminar </t>
  </si>
  <si>
    <t>Fobi Landestrainer</t>
  </si>
  <si>
    <t>Fortbildung Landestrainer</t>
  </si>
  <si>
    <t>Sachkonten</t>
  </si>
  <si>
    <t>Fahrtkosten ÖPNV: Bahn, Bus, Flugzeug (nicht Miete)</t>
  </si>
  <si>
    <t>Fahrtkosten: PKW 0,30 €/km</t>
  </si>
  <si>
    <t>Übernachtungs-Kosten</t>
  </si>
  <si>
    <t>Frühstück</t>
  </si>
  <si>
    <t>F</t>
  </si>
  <si>
    <t>Mittagessen oder Abendessen</t>
  </si>
  <si>
    <t>Frühstück und Mittagessen oder Abendessen</t>
  </si>
  <si>
    <t>F+M/A</t>
  </si>
  <si>
    <t>Mittagessen und Abendessen</t>
  </si>
  <si>
    <t>M+A</t>
  </si>
  <si>
    <t>Frühstück und Mittagessen und Abendessen</t>
  </si>
  <si>
    <t>F+M+A</t>
  </si>
  <si>
    <t>M/A</t>
  </si>
  <si>
    <t>Mietwagen/ Bus</t>
  </si>
  <si>
    <t>inkl. Benzin</t>
  </si>
  <si>
    <t>Sportschule</t>
  </si>
  <si>
    <t>Bewirtung</t>
  </si>
  <si>
    <t>Vignetten, Parkgebühren</t>
  </si>
  <si>
    <t>Repräsentation</t>
  </si>
  <si>
    <t>Sonstige Sachkonten</t>
  </si>
  <si>
    <t>Geschenke</t>
  </si>
  <si>
    <t>Frühstück (FStk)</t>
  </si>
  <si>
    <t>Allg. Sportdirektor</t>
  </si>
  <si>
    <t>Allg. Aus- und Fortbildung</t>
  </si>
  <si>
    <t>Kost-Stelle Nr</t>
  </si>
  <si>
    <t>Kost-Stelle Bezeichnung</t>
  </si>
  <si>
    <t>Rang</t>
  </si>
  <si>
    <t>Miete für Räume für alle Veranstaltungen</t>
  </si>
  <si>
    <t>Raummiete</t>
  </si>
  <si>
    <t>Sonst. Reisekosten</t>
  </si>
  <si>
    <t>Kurzbezeichnung</t>
  </si>
  <si>
    <t>Tagegeld (Hauptamtliche)</t>
  </si>
  <si>
    <t>Jubiläen, Ehrungen, Medaillen</t>
  </si>
  <si>
    <t>Summenplatz</t>
  </si>
  <si>
    <t>KSt-Platz</t>
  </si>
  <si>
    <t xml:space="preserve">     Freigabe:</t>
  </si>
  <si>
    <t>(Änderungen nur hier vornehmen)</t>
  </si>
  <si>
    <t>Stunden</t>
  </si>
  <si>
    <t>mindestens</t>
  </si>
  <si>
    <t>Präsidium, Hauptversammlung,</t>
  </si>
  <si>
    <t>Haushaltsführung, Controlling, Buchhaltung</t>
  </si>
  <si>
    <t>Sitzungen</t>
  </si>
  <si>
    <t>Sitzung Finanzen</t>
  </si>
  <si>
    <t>Sitzung Erwachsenensport</t>
  </si>
  <si>
    <t>Sitzung Jugendsport</t>
  </si>
  <si>
    <t>Sitzung Trainer</t>
  </si>
  <si>
    <t>Sitzung Aus- und Fortbildung</t>
  </si>
  <si>
    <t>Sitzung Präsidium + HV</t>
  </si>
  <si>
    <t>Anzahl</t>
  </si>
  <si>
    <t>Anzahl SK</t>
  </si>
  <si>
    <t>KoSt-Pl</t>
  </si>
  <si>
    <t>Abrechnung Reisekosten Landestrainer-plus</t>
  </si>
  <si>
    <t>Erweiterung Kosten-Stellen; erste Beta-Version</t>
  </si>
  <si>
    <t>Abfrage nach Tagegeld: default JA (nicht No); Summenfelder Zeile 42 bei 0,00 &gt;&gt; leer</t>
  </si>
  <si>
    <t>Lehrgang Landesstützpunkt Freiburg</t>
  </si>
  <si>
    <t>Lehrgang Landesstützpunkt Heilbronn</t>
  </si>
  <si>
    <t>Lehrgang Landesstützpunkt Karlsruhe</t>
  </si>
  <si>
    <t>LG LaStP Freiburg</t>
  </si>
  <si>
    <t>LG LaStP Karlsruhe</t>
  </si>
  <si>
    <t>LG LaStP Heilbronn</t>
  </si>
  <si>
    <t>Kostenstellen um 5 Punkte erweitert: Lehrgang Landesstützpunkte FR / KA / HN usw.</t>
  </si>
  <si>
    <t>0.1</t>
  </si>
  <si>
    <t>0.2</t>
  </si>
  <si>
    <t>0.3</t>
  </si>
  <si>
    <t>1.0</t>
  </si>
  <si>
    <t>FO_TTBW-13e Abr-LaTr-plus</t>
  </si>
  <si>
    <t>0.4</t>
  </si>
  <si>
    <t>LG LaStP allgemein</t>
  </si>
  <si>
    <t>0.5</t>
  </si>
  <si>
    <t>Kostenstellen um 1 Punkt erweitert: Lehrgang Landesstützpunkte allgemein</t>
  </si>
  <si>
    <t>Lehrgang Landesstützpunkte allgemein (übergreifend)</t>
  </si>
  <si>
    <t>Sportentwicklung</t>
  </si>
  <si>
    <t>Schulprojekt SV</t>
  </si>
  <si>
    <t>0.6</t>
  </si>
  <si>
    <t>Kostenstellen um 1 Punkt erweitert: Schulprojekt (Sportentwicklung)</t>
  </si>
  <si>
    <t>Landestrainer:</t>
  </si>
  <si>
    <t>Als Erstes: Name Landestrainer eingeben</t>
  </si>
  <si>
    <t>Einsatzort fehlt</t>
  </si>
  <si>
    <t>Kosten-Stelle fehlt</t>
  </si>
  <si>
    <t>Start-Zeit fehlt oder falsch: Eingabeformat hh:mm  / 0:00 bis 24:00</t>
  </si>
  <si>
    <t>Bei Sonstiges fehlt Bezeichnung oder Betrag</t>
  </si>
  <si>
    <t>End-Zeit fehlt oder vor Start-Zeit oder falsch: Eingabeformat hh:mm  / 0:00 bis 24:00</t>
  </si>
  <si>
    <t>W.Renz</t>
  </si>
  <si>
    <t>Eingabe- und Fehlerkontrolle eingebaut</t>
  </si>
  <si>
    <t>BIC:</t>
  </si>
  <si>
    <t>IBAN:</t>
  </si>
  <si>
    <t>1.3</t>
  </si>
  <si>
    <t>Kopierfehler in Zelle I50 behoben: falscher Bereich für SVERWEIS</t>
  </si>
  <si>
    <t>1.4</t>
  </si>
  <si>
    <t>H42: Summe immer angeben, wenn in der Datumsspalte etwas steht</t>
  </si>
  <si>
    <t>Planungen</t>
  </si>
  <si>
    <t>Abzüge erweitern auf "freie Eingabe" des in der Hotel-Rechnung aufgeführten Betrages</t>
  </si>
  <si>
    <t>1.5</t>
  </si>
  <si>
    <t>F.Fürste</t>
  </si>
  <si>
    <t>Neue Kostenstellen</t>
  </si>
  <si>
    <t>1.6</t>
  </si>
  <si>
    <t>1.7</t>
  </si>
  <si>
    <t>Neue Tagesgelder</t>
  </si>
  <si>
    <t>1.8</t>
  </si>
  <si>
    <t>Training Landesstützpunkt Ulm</t>
  </si>
  <si>
    <t>Lehrgang Landesstützpunkt Ulm</t>
  </si>
  <si>
    <t>Lehrgang Landesstützpunkt Böblingen</t>
  </si>
  <si>
    <t>Training Landesstützpunkt Böblingen</t>
  </si>
  <si>
    <t>LG LaStP Böblingen</t>
  </si>
  <si>
    <t>LG LaStP Ulm</t>
  </si>
  <si>
    <t>TR LaStP Böblingen</t>
  </si>
  <si>
    <t>TR LaStP Ulm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</si>
</sst>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[hh]:mm"/>
    <numFmt numFmtId="165" formatCode="dd/mm/yy;@"/>
    <numFmt numFmtId="166" formatCode="#,##0.00\ &quot;€&quot;"/>
    <numFmt numFmtId="167" formatCode="ddd\ dd/mm/yy"/>
    <numFmt numFmtId="168" formatCode="#,##0.00\ _€"/>
    <numFmt numFmtId="169" formatCode="0.0"/>
    <numFmt numFmtId="170" formatCode="h:mm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9"/>
      <name val="Wingdings 3"/>
      <family val="1"/>
      <charset val="2"/>
    </font>
    <font>
      <b/>
      <sz val="14"/>
      <color theme="1"/>
      <name val="Lucida Handwriting"/>
      <family val="4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6">
    <xf numFmtId="0" fontId="0" fillId="0" borderId="0" xfId="0"/>
    <xf numFmtId="0" fontId="2" fillId="0" borderId="0" xfId="1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vertical="top" wrapText="1"/>
    </xf>
    <xf numFmtId="49" fontId="0" fillId="0" borderId="3" xfId="0" applyNumberFormat="1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  <xf numFmtId="49" fontId="11" fillId="0" borderId="3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horizontal="center" vertical="top"/>
    </xf>
    <xf numFmtId="165" fontId="0" fillId="0" borderId="4" xfId="0" applyNumberForma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9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" fillId="0" borderId="3" xfId="1" applyBorder="1" applyAlignment="1">
      <alignment horizontal="center" vertical="center"/>
    </xf>
    <xf numFmtId="2" fontId="1" fillId="0" borderId="0" xfId="1" applyNumberFormat="1" applyAlignment="1">
      <alignment vertical="center"/>
    </xf>
    <xf numFmtId="0" fontId="8" fillId="5" borderId="3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0" xfId="1" applyFont="1" applyAlignment="1">
      <alignment horizontal="center" vertical="center" textRotation="90"/>
    </xf>
    <xf numFmtId="0" fontId="1" fillId="3" borderId="3" xfId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2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  <xf numFmtId="2" fontId="1" fillId="0" borderId="3" xfId="1" applyNumberFormat="1" applyBorder="1" applyAlignment="1">
      <alignment horizontal="center" vertical="center"/>
    </xf>
    <xf numFmtId="0" fontId="1" fillId="0" borderId="3" xfId="1" applyBorder="1" applyAlignment="1">
      <alignment vertical="center"/>
    </xf>
    <xf numFmtId="49" fontId="4" fillId="0" borderId="16" xfId="1" applyNumberFormat="1" applyFont="1" applyBorder="1" applyAlignment="1">
      <alignment horizontal="center" vertical="center" wrapText="1"/>
    </xf>
    <xf numFmtId="0" fontId="14" fillId="0" borderId="5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" fillId="6" borderId="3" xfId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/>
    </xf>
    <xf numFmtId="49" fontId="4" fillId="0" borderId="20" xfId="1" applyNumberFormat="1" applyFont="1" applyBorder="1" applyAlignment="1">
      <alignment horizontal="center" vertical="center" wrapText="1"/>
    </xf>
    <xf numFmtId="49" fontId="4" fillId="0" borderId="21" xfId="1" applyNumberFormat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 wrapText="1"/>
    </xf>
    <xf numFmtId="49" fontId="16" fillId="0" borderId="22" xfId="1" applyNumberFormat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 wrapText="1"/>
    </xf>
    <xf numFmtId="49" fontId="16" fillId="0" borderId="23" xfId="1" applyNumberFormat="1" applyFont="1" applyBorder="1" applyAlignment="1">
      <alignment horizontal="center" vertical="center" wrapText="1"/>
    </xf>
    <xf numFmtId="0" fontId="8" fillId="5" borderId="3" xfId="1" applyFont="1" applyFill="1" applyBorder="1" applyAlignment="1">
      <alignment vertical="center"/>
    </xf>
    <xf numFmtId="0" fontId="1" fillId="0" borderId="8" xfId="1" applyBorder="1" applyAlignment="1">
      <alignment vertical="center"/>
    </xf>
    <xf numFmtId="49" fontId="1" fillId="0" borderId="25" xfId="1" applyNumberFormat="1" applyBorder="1" applyAlignment="1">
      <alignment horizontal="center" vertical="center" wrapText="1"/>
    </xf>
    <xf numFmtId="49" fontId="8" fillId="0" borderId="25" xfId="1" applyNumberFormat="1" applyFont="1" applyBorder="1" applyAlignment="1">
      <alignment horizontal="center" vertical="center" wrapText="1"/>
    </xf>
    <xf numFmtId="49" fontId="9" fillId="0" borderId="17" xfId="1" applyNumberFormat="1" applyFont="1" applyBorder="1" applyAlignment="1">
      <alignment horizontal="center" vertical="center" wrapText="1"/>
    </xf>
    <xf numFmtId="49" fontId="1" fillId="0" borderId="17" xfId="1" applyNumberFormat="1" applyBorder="1" applyAlignment="1">
      <alignment horizontal="center" vertical="center" wrapText="1"/>
    </xf>
    <xf numFmtId="49" fontId="1" fillId="0" borderId="9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vertical="center"/>
    </xf>
    <xf numFmtId="164" fontId="1" fillId="0" borderId="3" xfId="1" applyNumberFormat="1" applyBorder="1" applyAlignment="1">
      <alignment horizontal="center" vertical="center"/>
    </xf>
    <xf numFmtId="166" fontId="1" fillId="0" borderId="3" xfId="1" applyNumberFormat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2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3" fillId="0" borderId="34" xfId="0" applyFont="1" applyBorder="1"/>
    <xf numFmtId="2" fontId="19" fillId="0" borderId="0" xfId="1" applyNumberFormat="1" applyFont="1"/>
    <xf numFmtId="0" fontId="19" fillId="0" borderId="0" xfId="1" applyFont="1" applyAlignment="1">
      <alignment horizontal="center"/>
    </xf>
    <xf numFmtId="0" fontId="20" fillId="0" borderId="0" xfId="0" applyFont="1"/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3" fillId="0" borderId="9" xfId="0" applyFont="1" applyBorder="1"/>
    <xf numFmtId="0" fontId="21" fillId="0" borderId="1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8" fontId="1" fillId="0" borderId="10" xfId="1" applyNumberFormat="1" applyBorder="1" applyAlignment="1">
      <alignment vertical="center"/>
    </xf>
    <xf numFmtId="0" fontId="13" fillId="0" borderId="7" xfId="0" applyFont="1" applyBorder="1"/>
    <xf numFmtId="2" fontId="5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166" fontId="7" fillId="0" borderId="0" xfId="1" applyNumberFormat="1" applyFont="1" applyAlignment="1">
      <alignment horizontal="right" vertical="center"/>
    </xf>
    <xf numFmtId="169" fontId="2" fillId="0" borderId="0" xfId="1" applyNumberFormat="1" applyFont="1" applyAlignment="1">
      <alignment horizontal="center" vertical="center"/>
    </xf>
    <xf numFmtId="169" fontId="1" fillId="0" borderId="0" xfId="1" applyNumberFormat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6" borderId="18" xfId="1" applyFont="1" applyFill="1" applyBorder="1" applyAlignment="1">
      <alignment horizontal="center" vertical="center"/>
    </xf>
    <xf numFmtId="0" fontId="8" fillId="6" borderId="18" xfId="1" applyFont="1" applyFill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1" fillId="0" borderId="18" xfId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" fillId="0" borderId="3" xfId="1" applyNumberFormat="1" applyBorder="1" applyAlignment="1">
      <alignment vertical="center"/>
    </xf>
    <xf numFmtId="2" fontId="2" fillId="0" borderId="3" xfId="1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2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vertical="center"/>
    </xf>
    <xf numFmtId="168" fontId="1" fillId="0" borderId="0" xfId="1" applyNumberFormat="1" applyAlignment="1">
      <alignment vertical="center"/>
    </xf>
    <xf numFmtId="168" fontId="1" fillId="0" borderId="0" xfId="1" applyNumberFormat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textRotation="90"/>
    </xf>
    <xf numFmtId="0" fontId="8" fillId="0" borderId="8" xfId="1" applyFont="1" applyBorder="1" applyAlignment="1">
      <alignment horizontal="center" textRotation="90"/>
    </xf>
    <xf numFmtId="0" fontId="23" fillId="6" borderId="3" xfId="0" applyFont="1" applyFill="1" applyBorder="1" applyAlignment="1">
      <alignment horizontal="center" vertical="center"/>
    </xf>
    <xf numFmtId="166" fontId="1" fillId="0" borderId="0" xfId="1" applyNumberFormat="1" applyAlignment="1">
      <alignment vertical="center"/>
    </xf>
    <xf numFmtId="49" fontId="5" fillId="0" borderId="9" xfId="1" applyNumberFormat="1" applyFont="1" applyBorder="1" applyAlignment="1">
      <alignment vertical="center"/>
    </xf>
    <xf numFmtId="0" fontId="8" fillId="6" borderId="3" xfId="1" applyFont="1" applyFill="1" applyBorder="1" applyAlignment="1">
      <alignment horizontal="left" vertical="center"/>
    </xf>
    <xf numFmtId="0" fontId="8" fillId="6" borderId="3" xfId="1" applyFont="1" applyFill="1" applyBorder="1" applyAlignment="1">
      <alignment vertical="center"/>
    </xf>
    <xf numFmtId="2" fontId="9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8" fontId="1" fillId="0" borderId="0" xfId="1" applyNumberFormat="1" applyAlignment="1">
      <alignment vertical="center"/>
    </xf>
    <xf numFmtId="1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169" fontId="9" fillId="0" borderId="1" xfId="1" applyNumberFormat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/>
    </xf>
    <xf numFmtId="164" fontId="1" fillId="0" borderId="0" xfId="1" applyNumberFormat="1" applyAlignment="1">
      <alignment horizontal="center" vertical="center"/>
    </xf>
    <xf numFmtId="167" fontId="4" fillId="0" borderId="25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vertical="center"/>
    </xf>
    <xf numFmtId="0" fontId="1" fillId="0" borderId="10" xfId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8" fillId="5" borderId="12" xfId="1" applyFont="1" applyFill="1" applyBorder="1" applyAlignment="1">
      <alignment vertical="center"/>
    </xf>
    <xf numFmtId="0" fontId="8" fillId="5" borderId="14" xfId="1" applyFont="1" applyFill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0" xfId="1" applyBorder="1" applyAlignment="1">
      <alignment horizontal="left" vertical="center" indent="1"/>
    </xf>
    <xf numFmtId="0" fontId="1" fillId="0" borderId="0" xfId="1" applyAlignment="1">
      <alignment horizontal="left" vertical="center" indent="1"/>
    </xf>
    <xf numFmtId="0" fontId="5" fillId="0" borderId="0" xfId="1" applyFont="1" applyAlignment="1">
      <alignment horizontal="center" vertical="center"/>
    </xf>
    <xf numFmtId="2" fontId="8" fillId="0" borderId="0" xfId="1" applyNumberFormat="1" applyFont="1" applyAlignment="1">
      <alignment vertical="center"/>
    </xf>
    <xf numFmtId="49" fontId="1" fillId="0" borderId="8" xfId="1" applyNumberFormat="1" applyBorder="1" applyAlignment="1">
      <alignment horizontal="center" vertical="center" wrapText="1"/>
    </xf>
    <xf numFmtId="49" fontId="1" fillId="0" borderId="26" xfId="1" applyNumberFormat="1" applyBorder="1" applyAlignment="1">
      <alignment horizontal="center" vertical="center" wrapText="1"/>
    </xf>
    <xf numFmtId="49" fontId="1" fillId="0" borderId="0" xfId="1" applyNumberFormat="1" applyAlignment="1">
      <alignment horizontal="right" vertical="center"/>
    </xf>
    <xf numFmtId="2" fontId="8" fillId="5" borderId="31" xfId="1" applyNumberFormat="1" applyFont="1" applyFill="1" applyBorder="1" applyAlignment="1">
      <alignment vertical="center"/>
    </xf>
    <xf numFmtId="1" fontId="8" fillId="5" borderId="31" xfId="1" applyNumberFormat="1" applyFont="1" applyFill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2" fontId="1" fillId="0" borderId="13" xfId="1" applyNumberFormat="1" applyBorder="1" applyAlignment="1">
      <alignment vertical="center"/>
    </xf>
    <xf numFmtId="2" fontId="1" fillId="0" borderId="54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0" fontId="1" fillId="4" borderId="3" xfId="1" applyFill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2" fontId="1" fillId="0" borderId="18" xfId="1" applyNumberFormat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2" fontId="1" fillId="0" borderId="66" xfId="1" applyNumberFormat="1" applyBorder="1" applyAlignment="1">
      <alignment horizontal="center" vertical="center"/>
    </xf>
    <xf numFmtId="0" fontId="8" fillId="0" borderId="78" xfId="1" applyFont="1" applyBorder="1" applyAlignment="1">
      <alignment horizontal="center" vertical="center"/>
    </xf>
    <xf numFmtId="0" fontId="1" fillId="0" borderId="79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80" xfId="1" applyBorder="1" applyAlignment="1">
      <alignment horizontal="center" vertical="center"/>
    </xf>
    <xf numFmtId="164" fontId="2" fillId="2" borderId="29" xfId="1" applyNumberFormat="1" applyFont="1" applyFill="1" applyBorder="1" applyAlignment="1" applyProtection="1">
      <alignment horizontal="center" vertical="center"/>
      <protection locked="0"/>
    </xf>
    <xf numFmtId="164" fontId="2" fillId="2" borderId="30" xfId="1" applyNumberFormat="1" applyFont="1" applyFill="1" applyBorder="1" applyAlignment="1" applyProtection="1">
      <alignment horizontal="center" vertical="center"/>
      <protection locked="0"/>
    </xf>
    <xf numFmtId="2" fontId="2" fillId="2" borderId="13" xfId="1" applyNumberFormat="1" applyFont="1" applyFill="1" applyBorder="1" applyAlignment="1" applyProtection="1">
      <alignment horizontal="right" vertical="center"/>
      <protection locked="0"/>
    </xf>
    <xf numFmtId="1" fontId="2" fillId="2" borderId="30" xfId="1" applyNumberFormat="1" applyFont="1" applyFill="1" applyBorder="1" applyAlignment="1" applyProtection="1">
      <alignment horizontal="right" vertical="center"/>
      <protection locked="0"/>
    </xf>
    <xf numFmtId="0" fontId="2" fillId="0" borderId="15" xfId="1" applyFont="1" applyBorder="1" applyAlignment="1">
      <alignment vertical="center"/>
    </xf>
    <xf numFmtId="49" fontId="6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vertical="center"/>
    </xf>
    <xf numFmtId="2" fontId="2" fillId="0" borderId="3" xfId="1" applyNumberFormat="1" applyFont="1" applyBorder="1" applyAlignment="1">
      <alignment horizontal="center" vertical="center"/>
    </xf>
    <xf numFmtId="2" fontId="8" fillId="5" borderId="13" xfId="1" applyNumberFormat="1" applyFont="1" applyFill="1" applyBorder="1" applyAlignment="1">
      <alignment horizontal="left" vertical="center" indent="1"/>
    </xf>
    <xf numFmtId="2" fontId="8" fillId="5" borderId="13" xfId="1" applyNumberFormat="1" applyFont="1" applyFill="1" applyBorder="1" applyAlignment="1">
      <alignment horizontal="right" vertical="center"/>
    </xf>
    <xf numFmtId="2" fontId="8" fillId="5" borderId="3" xfId="1" applyNumberFormat="1" applyFont="1" applyFill="1" applyBorder="1" applyAlignment="1">
      <alignment horizontal="left" vertical="center" indent="1"/>
    </xf>
    <xf numFmtId="0" fontId="4" fillId="0" borderId="14" xfId="1" applyFont="1" applyBorder="1" applyAlignment="1">
      <alignment horizontal="left" vertical="center" indent="1"/>
    </xf>
    <xf numFmtId="168" fontId="4" fillId="0" borderId="14" xfId="1" applyNumberFormat="1" applyFont="1" applyBorder="1" applyAlignment="1">
      <alignment horizontal="center" vertical="center"/>
    </xf>
    <xf numFmtId="4" fontId="4" fillId="0" borderId="13" xfId="1" applyNumberFormat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9" fillId="0" borderId="2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2" fontId="2" fillId="13" borderId="62" xfId="1" applyNumberFormat="1" applyFont="1" applyFill="1" applyBorder="1" applyAlignment="1">
      <alignment horizontal="center" vertical="center"/>
    </xf>
    <xf numFmtId="0" fontId="2" fillId="13" borderId="49" xfId="1" applyFont="1" applyFill="1" applyBorder="1" applyAlignment="1">
      <alignment horizontal="center" vertical="center"/>
    </xf>
    <xf numFmtId="2" fontId="2" fillId="13" borderId="47" xfId="1" applyNumberFormat="1" applyFont="1" applyFill="1" applyBorder="1" applyAlignment="1">
      <alignment vertical="center"/>
    </xf>
    <xf numFmtId="0" fontId="2" fillId="13" borderId="50" xfId="1" applyFont="1" applyFill="1" applyBorder="1" applyAlignment="1">
      <alignment vertical="center"/>
    </xf>
    <xf numFmtId="2" fontId="2" fillId="13" borderId="52" xfId="1" applyNumberFormat="1" applyFont="1" applyFill="1" applyBorder="1" applyAlignment="1">
      <alignment horizontal="center" vertical="center"/>
    </xf>
    <xf numFmtId="0" fontId="2" fillId="13" borderId="68" xfId="1" applyFont="1" applyFill="1" applyBorder="1" applyAlignment="1">
      <alignment horizontal="center" vertical="center"/>
    </xf>
    <xf numFmtId="2" fontId="2" fillId="13" borderId="52" xfId="1" applyNumberFormat="1" applyFont="1" applyFill="1" applyBorder="1" applyAlignment="1">
      <alignment vertical="center"/>
    </xf>
    <xf numFmtId="0" fontId="2" fillId="13" borderId="61" xfId="1" applyFont="1" applyFill="1" applyBorder="1" applyAlignment="1">
      <alignment vertical="center"/>
    </xf>
    <xf numFmtId="2" fontId="2" fillId="0" borderId="62" xfId="1" applyNumberFormat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2" fontId="2" fillId="0" borderId="47" xfId="1" applyNumberFormat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2" fontId="2" fillId="0" borderId="52" xfId="1" applyNumberFormat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2" fontId="2" fillId="0" borderId="52" xfId="1" applyNumberFormat="1" applyFont="1" applyBorder="1" applyAlignment="1">
      <alignment vertical="center"/>
    </xf>
    <xf numFmtId="0" fontId="2" fillId="0" borderId="61" xfId="1" applyFont="1" applyBorder="1" applyAlignment="1">
      <alignment vertical="center"/>
    </xf>
    <xf numFmtId="2" fontId="2" fillId="13" borderId="70" xfId="1" applyNumberFormat="1" applyFont="1" applyFill="1" applyBorder="1" applyAlignment="1">
      <alignment horizontal="center" vertical="center"/>
    </xf>
    <xf numFmtId="0" fontId="2" fillId="13" borderId="27" xfId="1" applyFont="1" applyFill="1" applyBorder="1" applyAlignment="1">
      <alignment vertical="center"/>
    </xf>
    <xf numFmtId="2" fontId="2" fillId="0" borderId="70" xfId="1" applyNumberFormat="1" applyFont="1" applyBorder="1" applyAlignment="1">
      <alignment horizontal="center" vertical="center"/>
    </xf>
    <xf numFmtId="2" fontId="2" fillId="0" borderId="75" xfId="1" applyNumberFormat="1" applyFont="1" applyBorder="1" applyAlignment="1">
      <alignment horizontal="center" vertical="center"/>
    </xf>
    <xf numFmtId="0" fontId="2" fillId="0" borderId="76" xfId="1" applyFont="1" applyBorder="1" applyAlignment="1">
      <alignment horizontal="center" vertical="center"/>
    </xf>
    <xf numFmtId="2" fontId="2" fillId="0" borderId="71" xfId="1" applyNumberFormat="1" applyFont="1" applyBorder="1" applyAlignment="1">
      <alignment vertical="center"/>
    </xf>
    <xf numFmtId="0" fontId="2" fillId="0" borderId="77" xfId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" fillId="2" borderId="29" xfId="1" applyFont="1" applyFill="1" applyBorder="1" applyAlignment="1" applyProtection="1">
      <alignment horizontal="center" vertical="center"/>
      <protection locked="0"/>
    </xf>
    <xf numFmtId="2" fontId="2" fillId="2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2" fontId="2" fillId="0" borderId="13" xfId="1" applyNumberFormat="1" applyFont="1" applyBorder="1" applyAlignment="1">
      <alignment horizontal="right" vertical="center"/>
    </xf>
    <xf numFmtId="0" fontId="20" fillId="0" borderId="6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top"/>
    </xf>
    <xf numFmtId="165" fontId="0" fillId="4" borderId="3" xfId="0" applyNumberFormat="1" applyFill="1" applyBorder="1" applyAlignment="1">
      <alignment horizontal="center" vertical="top"/>
    </xf>
    <xf numFmtId="49" fontId="11" fillId="4" borderId="3" xfId="0" applyNumberFormat="1" applyFont="1" applyFill="1" applyBorder="1" applyAlignment="1">
      <alignment vertical="top" wrapText="1"/>
    </xf>
    <xf numFmtId="169" fontId="9" fillId="0" borderId="1" xfId="1" applyNumberFormat="1" applyFont="1" applyBorder="1" applyAlignment="1">
      <alignment horizontal="center" vertical="center"/>
    </xf>
    <xf numFmtId="0" fontId="1" fillId="0" borderId="81" xfId="1" applyBorder="1" applyAlignment="1">
      <alignment horizontal="left" vertical="center"/>
    </xf>
    <xf numFmtId="0" fontId="1" fillId="0" borderId="81" xfId="1" applyBorder="1" applyAlignment="1">
      <alignment vertical="center"/>
    </xf>
    <xf numFmtId="0" fontId="20" fillId="0" borderId="8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" fontId="2" fillId="0" borderId="0" xfId="1" applyNumberFormat="1" applyFont="1" applyAlignment="1">
      <alignment vertical="center"/>
    </xf>
    <xf numFmtId="0" fontId="2" fillId="0" borderId="3" xfId="1" applyFont="1" applyBorder="1" applyAlignment="1">
      <alignment vertical="center"/>
    </xf>
    <xf numFmtId="2" fontId="15" fillId="0" borderId="0" xfId="1" applyNumberFormat="1" applyFont="1" applyAlignment="1">
      <alignment vertical="center"/>
    </xf>
    <xf numFmtId="2" fontId="15" fillId="0" borderId="0" xfId="1" applyNumberFormat="1" applyFont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2" fontId="8" fillId="0" borderId="0" xfId="1" applyNumberFormat="1" applyFont="1" applyAlignment="1">
      <alignment vertical="top" wrapText="1"/>
    </xf>
    <xf numFmtId="0" fontId="8" fillId="7" borderId="12" xfId="1" applyFont="1" applyFill="1" applyBorder="1" applyAlignment="1">
      <alignment horizontal="center" vertical="center"/>
    </xf>
    <xf numFmtId="2" fontId="8" fillId="0" borderId="10" xfId="1" applyNumberFormat="1" applyFont="1" applyBorder="1" applyAlignment="1">
      <alignment vertical="top" wrapText="1"/>
    </xf>
    <xf numFmtId="49" fontId="8" fillId="4" borderId="20" xfId="1" applyNumberFormat="1" applyFont="1" applyFill="1" applyBorder="1" applyAlignment="1">
      <alignment horizontal="center" vertical="center" wrapText="1"/>
    </xf>
    <xf numFmtId="0" fontId="27" fillId="0" borderId="81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1" fillId="0" borderId="0" xfId="1" applyNumberFormat="1" applyAlignment="1">
      <alignment horizontal="left" vertical="center"/>
    </xf>
    <xf numFmtId="0" fontId="1" fillId="0" borderId="1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3" xfId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12" borderId="12" xfId="1" applyFont="1" applyFill="1" applyBorder="1" applyAlignment="1">
      <alignment horizontal="center" vertical="center"/>
    </xf>
    <xf numFmtId="0" fontId="9" fillId="12" borderId="14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10" xfId="1" applyFont="1" applyBorder="1" applyAlignment="1">
      <alignment horizontal="right" vertical="center"/>
    </xf>
    <xf numFmtId="0" fontId="15" fillId="0" borderId="0" xfId="1" applyFont="1" applyAlignment="1">
      <alignment horizontal="right" vertical="center"/>
    </xf>
    <xf numFmtId="14" fontId="21" fillId="2" borderId="0" xfId="0" applyNumberFormat="1" applyFont="1" applyFill="1" applyAlignment="1" applyProtection="1">
      <alignment horizontal="center" vertical="center" wrapText="1"/>
      <protection locked="0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10" xfId="1" applyBorder="1" applyAlignment="1">
      <alignment vertical="center"/>
    </xf>
    <xf numFmtId="0" fontId="1" fillId="0" borderId="7" xfId="1" applyBorder="1" applyAlignment="1">
      <alignment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8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1" borderId="12" xfId="1" applyFont="1" applyFill="1" applyBorder="1" applyAlignment="1">
      <alignment horizontal="center" vertical="center"/>
    </xf>
    <xf numFmtId="0" fontId="9" fillId="11" borderId="14" xfId="1" applyFont="1" applyFill="1" applyBorder="1" applyAlignment="1">
      <alignment horizontal="center" vertical="center"/>
    </xf>
    <xf numFmtId="0" fontId="9" fillId="11" borderId="13" xfId="1" applyFont="1" applyFill="1" applyBorder="1" applyAlignment="1">
      <alignment horizontal="center" vertical="center"/>
    </xf>
    <xf numFmtId="0" fontId="9" fillId="9" borderId="12" xfId="1" applyFont="1" applyFill="1" applyBorder="1" applyAlignment="1">
      <alignment horizontal="center" vertical="center"/>
    </xf>
    <xf numFmtId="0" fontId="9" fillId="9" borderId="14" xfId="1" applyFont="1" applyFill="1" applyBorder="1" applyAlignment="1">
      <alignment horizontal="center" vertical="center"/>
    </xf>
    <xf numFmtId="0" fontId="9" fillId="9" borderId="13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170" fontId="1" fillId="0" borderId="10" xfId="1" applyNumberFormat="1" applyBorder="1" applyAlignment="1">
      <alignment vertical="center"/>
    </xf>
    <xf numFmtId="170" fontId="1" fillId="0" borderId="0" xfId="1" applyNumberForma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5" fillId="0" borderId="3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8" fillId="5" borderId="3" xfId="1" applyFont="1" applyFill="1" applyBorder="1" applyAlignment="1">
      <alignment vertical="center"/>
    </xf>
    <xf numFmtId="0" fontId="8" fillId="0" borderId="3" xfId="1" applyFont="1" applyBorder="1" applyAlignment="1">
      <alignment horizontal="center" textRotation="90"/>
    </xf>
    <xf numFmtId="0" fontId="8" fillId="4" borderId="4" xfId="1" applyFont="1" applyFill="1" applyBorder="1" applyAlignment="1">
      <alignment horizontal="center" textRotation="90"/>
    </xf>
    <xf numFmtId="0" fontId="8" fillId="4" borderId="3" xfId="1" applyFont="1" applyFill="1" applyBorder="1" applyAlignment="1">
      <alignment horizontal="center" textRotation="90"/>
    </xf>
    <xf numFmtId="49" fontId="1" fillId="0" borderId="12" xfId="1" applyNumberFormat="1" applyBorder="1" applyAlignment="1">
      <alignment vertical="center"/>
    </xf>
    <xf numFmtId="49" fontId="1" fillId="0" borderId="13" xfId="1" applyNumberForma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13" borderId="67" xfId="1" applyFont="1" applyFill="1" applyBorder="1" applyAlignment="1">
      <alignment horizontal="center" vertical="center"/>
    </xf>
    <xf numFmtId="0" fontId="2" fillId="13" borderId="2" xfId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 applyProtection="1">
      <alignment horizontal="left" vertical="center"/>
      <protection locked="0"/>
    </xf>
    <xf numFmtId="2" fontId="2" fillId="2" borderId="30" xfId="1" applyNumberFormat="1" applyFont="1" applyFill="1" applyBorder="1" applyAlignment="1" applyProtection="1">
      <alignment horizontal="left" vertical="center"/>
      <protection locked="0"/>
    </xf>
    <xf numFmtId="0" fontId="2" fillId="0" borderId="5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53" xfId="1" applyFont="1" applyBorder="1" applyAlignment="1">
      <alignment vertical="center"/>
    </xf>
    <xf numFmtId="0" fontId="2" fillId="13" borderId="42" xfId="1" applyFont="1" applyFill="1" applyBorder="1" applyAlignment="1">
      <alignment horizontal="left" vertical="center" wrapText="1" indent="1"/>
    </xf>
    <xf numFmtId="0" fontId="2" fillId="13" borderId="1" xfId="1" applyFont="1" applyFill="1" applyBorder="1" applyAlignment="1">
      <alignment horizontal="left" vertical="center" wrapText="1" indent="1"/>
    </xf>
    <xf numFmtId="0" fontId="2" fillId="13" borderId="45" xfId="1" applyFont="1" applyFill="1" applyBorder="1" applyAlignment="1">
      <alignment horizontal="left" vertical="center" wrapText="1" indent="1"/>
    </xf>
    <xf numFmtId="0" fontId="2" fillId="13" borderId="28" xfId="1" applyFont="1" applyFill="1" applyBorder="1" applyAlignment="1">
      <alignment horizontal="left" vertical="center" wrapText="1" indent="1"/>
    </xf>
    <xf numFmtId="0" fontId="2" fillId="13" borderId="8" xfId="1" applyFont="1" applyFill="1" applyBorder="1" applyAlignment="1">
      <alignment horizontal="left" vertical="center" wrapText="1" indent="1"/>
    </xf>
    <xf numFmtId="0" fontId="2" fillId="13" borderId="26" xfId="1" applyFont="1" applyFill="1" applyBorder="1" applyAlignment="1">
      <alignment horizontal="left" vertical="center" wrapText="1" indent="1"/>
    </xf>
    <xf numFmtId="0" fontId="2" fillId="13" borderId="44" xfId="1" applyFont="1" applyFill="1" applyBorder="1" applyAlignment="1">
      <alignment horizontal="center" vertical="center"/>
    </xf>
    <xf numFmtId="0" fontId="2" fillId="13" borderId="25" xfId="1" applyFont="1" applyFill="1" applyBorder="1" applyAlignment="1">
      <alignment horizontal="center" vertical="center"/>
    </xf>
    <xf numFmtId="2" fontId="2" fillId="13" borderId="42" xfId="1" applyNumberFormat="1" applyFont="1" applyFill="1" applyBorder="1" applyAlignment="1">
      <alignment horizontal="right" vertical="center" indent="1"/>
    </xf>
    <xf numFmtId="2" fontId="2" fillId="13" borderId="5" xfId="1" applyNumberFormat="1" applyFont="1" applyFill="1" applyBorder="1" applyAlignment="1">
      <alignment horizontal="right" vertical="center" indent="1"/>
    </xf>
    <xf numFmtId="2" fontId="2" fillId="13" borderId="28" xfId="1" applyNumberFormat="1" applyFont="1" applyFill="1" applyBorder="1" applyAlignment="1">
      <alignment horizontal="right" vertical="center" indent="1"/>
    </xf>
    <xf numFmtId="2" fontId="2" fillId="13" borderId="9" xfId="1" applyNumberFormat="1" applyFont="1" applyFill="1" applyBorder="1" applyAlignment="1">
      <alignment horizontal="right" vertical="center" indent="1"/>
    </xf>
    <xf numFmtId="0" fontId="2" fillId="0" borderId="4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1"/>
    </xf>
    <xf numFmtId="0" fontId="2" fillId="0" borderId="45" xfId="1" applyFont="1" applyBorder="1" applyAlignment="1">
      <alignment horizontal="left" vertical="center" wrapText="1" indent="1"/>
    </xf>
    <xf numFmtId="0" fontId="2" fillId="0" borderId="28" xfId="1" applyFont="1" applyBorder="1" applyAlignment="1">
      <alignment horizontal="left" vertical="center" wrapText="1" indent="1"/>
    </xf>
    <xf numFmtId="0" fontId="2" fillId="0" borderId="8" xfId="1" applyFont="1" applyBorder="1" applyAlignment="1">
      <alignment horizontal="left" vertical="center" wrapText="1" indent="1"/>
    </xf>
    <xf numFmtId="0" fontId="2" fillId="0" borderId="26" xfId="1" applyFont="1" applyBorder="1" applyAlignment="1">
      <alignment horizontal="left" vertical="center" wrapText="1" indent="1"/>
    </xf>
    <xf numFmtId="0" fontId="2" fillId="0" borderId="47" xfId="1" applyFont="1" applyBorder="1" applyAlignment="1">
      <alignment vertical="center"/>
    </xf>
    <xf numFmtId="0" fontId="2" fillId="0" borderId="48" xfId="1" applyFont="1" applyBorder="1" applyAlignment="1">
      <alignment vertical="center"/>
    </xf>
    <xf numFmtId="0" fontId="4" fillId="7" borderId="12" xfId="1" applyFont="1" applyFill="1" applyBorder="1" applyAlignment="1">
      <alignment vertical="center"/>
    </xf>
    <xf numFmtId="0" fontId="4" fillId="7" borderId="14" xfId="1" applyFont="1" applyFill="1" applyBorder="1" applyAlignment="1">
      <alignment vertical="center"/>
    </xf>
    <xf numFmtId="0" fontId="4" fillId="7" borderId="13" xfId="1" applyFont="1" applyFill="1" applyBorder="1" applyAlignment="1">
      <alignment vertical="center"/>
    </xf>
    <xf numFmtId="0" fontId="2" fillId="0" borderId="4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2" fillId="13" borderId="52" xfId="1" applyFont="1" applyFill="1" applyBorder="1" applyAlignment="1">
      <alignment vertical="center"/>
    </xf>
    <xf numFmtId="0" fontId="2" fillId="13" borderId="53" xfId="1" applyFont="1" applyFill="1" applyBorder="1" applyAlignment="1">
      <alignment vertical="center"/>
    </xf>
    <xf numFmtId="2" fontId="2" fillId="0" borderId="42" xfId="1" applyNumberFormat="1" applyFont="1" applyBorder="1" applyAlignment="1">
      <alignment horizontal="right" vertical="center" indent="1"/>
    </xf>
    <xf numFmtId="2" fontId="2" fillId="0" borderId="5" xfId="1" applyNumberFormat="1" applyFont="1" applyBorder="1" applyAlignment="1">
      <alignment horizontal="right" vertical="center" indent="1"/>
    </xf>
    <xf numFmtId="2" fontId="2" fillId="0" borderId="28" xfId="1" applyNumberFormat="1" applyFont="1" applyBorder="1" applyAlignment="1">
      <alignment horizontal="right" vertical="center" indent="1"/>
    </xf>
    <xf numFmtId="2" fontId="2" fillId="0" borderId="9" xfId="1" applyNumberFormat="1" applyFont="1" applyBorder="1" applyAlignment="1">
      <alignment horizontal="right" vertical="center" indent="1"/>
    </xf>
    <xf numFmtId="2" fontId="2" fillId="0" borderId="47" xfId="1" applyNumberFormat="1" applyFont="1" applyBorder="1" applyAlignment="1">
      <alignment vertical="center"/>
    </xf>
    <xf numFmtId="2" fontId="2" fillId="0" borderId="51" xfId="1" applyNumberFormat="1" applyFont="1" applyBorder="1" applyAlignment="1">
      <alignment vertical="center"/>
    </xf>
    <xf numFmtId="2" fontId="2" fillId="13" borderId="28" xfId="1" applyNumberFormat="1" applyFont="1" applyFill="1" applyBorder="1" applyAlignment="1">
      <alignment vertical="center"/>
    </xf>
    <xf numFmtId="2" fontId="2" fillId="13" borderId="9" xfId="1" applyNumberFormat="1" applyFont="1" applyFill="1" applyBorder="1" applyAlignment="1">
      <alignment vertical="center"/>
    </xf>
    <xf numFmtId="0" fontId="2" fillId="0" borderId="6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7" borderId="3" xfId="1" applyFont="1" applyFill="1" applyBorder="1" applyAlignment="1">
      <alignment horizontal="left" vertical="center"/>
    </xf>
    <xf numFmtId="0" fontId="2" fillId="2" borderId="12" xfId="1" applyFont="1" applyFill="1" applyBorder="1" applyAlignment="1" applyProtection="1">
      <alignment horizontal="left" vertical="center"/>
      <protection locked="0"/>
    </xf>
    <xf numFmtId="0" fontId="2" fillId="2" borderId="30" xfId="1" applyFont="1" applyFill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49" fontId="2" fillId="0" borderId="12" xfId="1" applyNumberFormat="1" applyFont="1" applyBorder="1" applyAlignment="1">
      <alignment vertical="center"/>
    </xf>
    <xf numFmtId="49" fontId="2" fillId="0" borderId="13" xfId="1" applyNumberFormat="1" applyFont="1" applyBorder="1" applyAlignment="1">
      <alignment vertical="center"/>
    </xf>
    <xf numFmtId="2" fontId="8" fillId="0" borderId="15" xfId="1" applyNumberFormat="1" applyFont="1" applyBorder="1" applyAlignment="1">
      <alignment vertical="top" wrapText="1"/>
    </xf>
    <xf numFmtId="2" fontId="8" fillId="0" borderId="1" xfId="1" applyNumberFormat="1" applyFont="1" applyBorder="1" applyAlignment="1">
      <alignment vertical="top" wrapText="1"/>
    </xf>
    <xf numFmtId="2" fontId="8" fillId="0" borderId="6" xfId="1" applyNumberFormat="1" applyFont="1" applyBorder="1" applyAlignment="1">
      <alignment vertical="top" wrapText="1"/>
    </xf>
    <xf numFmtId="2" fontId="8" fillId="0" borderId="8" xfId="1" applyNumberFormat="1" applyFont="1" applyBorder="1" applyAlignment="1">
      <alignment vertical="top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13" borderId="46" xfId="1" applyFont="1" applyFill="1" applyBorder="1" applyAlignment="1">
      <alignment horizontal="center" vertical="center"/>
    </xf>
    <xf numFmtId="0" fontId="2" fillId="13" borderId="43" xfId="1" applyFont="1" applyFill="1" applyBorder="1" applyAlignment="1">
      <alignment horizontal="center" vertical="center"/>
    </xf>
    <xf numFmtId="0" fontId="2" fillId="13" borderId="47" xfId="1" applyFont="1" applyFill="1" applyBorder="1" applyAlignment="1">
      <alignment vertical="center"/>
    </xf>
    <xf numFmtId="0" fontId="2" fillId="13" borderId="48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2" fontId="2" fillId="0" borderId="52" xfId="1" applyNumberFormat="1" applyFont="1" applyBorder="1" applyAlignment="1">
      <alignment vertical="center"/>
    </xf>
    <xf numFmtId="2" fontId="2" fillId="0" borderId="69" xfId="1" applyNumberFormat="1" applyFont="1" applyBorder="1" applyAlignment="1">
      <alignment vertical="center"/>
    </xf>
    <xf numFmtId="2" fontId="2" fillId="13" borderId="47" xfId="1" applyNumberFormat="1" applyFont="1" applyFill="1" applyBorder="1" applyAlignment="1">
      <alignment vertical="center"/>
    </xf>
    <xf numFmtId="2" fontId="2" fillId="13" borderId="51" xfId="1" applyNumberFormat="1" applyFont="1" applyFill="1" applyBorder="1" applyAlignment="1">
      <alignment vertical="center"/>
    </xf>
    <xf numFmtId="2" fontId="2" fillId="13" borderId="52" xfId="1" applyNumberFormat="1" applyFont="1" applyFill="1" applyBorder="1" applyAlignment="1">
      <alignment vertical="center"/>
    </xf>
    <xf numFmtId="2" fontId="2" fillId="13" borderId="69" xfId="1" applyNumberFormat="1" applyFont="1" applyFill="1" applyBorder="1" applyAlignment="1">
      <alignment vertical="center"/>
    </xf>
    <xf numFmtId="0" fontId="2" fillId="13" borderId="48" xfId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 applyProtection="1">
      <alignment horizontal="center" vertical="center"/>
      <protection locked="0"/>
    </xf>
    <xf numFmtId="167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32" xfId="1" applyFont="1" applyBorder="1" applyAlignment="1">
      <alignment horizontal="center" vertical="center"/>
    </xf>
    <xf numFmtId="168" fontId="2" fillId="2" borderId="12" xfId="1" applyNumberFormat="1" applyFont="1" applyFill="1" applyBorder="1" applyAlignment="1" applyProtection="1">
      <alignment horizontal="left" vertical="center"/>
      <protection locked="0"/>
    </xf>
    <xf numFmtId="168" fontId="2" fillId="2" borderId="14" xfId="1" applyNumberFormat="1" applyFont="1" applyFill="1" applyBorder="1" applyAlignment="1" applyProtection="1">
      <alignment horizontal="left" vertical="center"/>
      <protection locked="0"/>
    </xf>
    <xf numFmtId="49" fontId="4" fillId="0" borderId="15" xfId="1" applyNumberFormat="1" applyFont="1" applyBorder="1" applyAlignment="1">
      <alignment horizontal="right" vertical="center" indent="1"/>
    </xf>
    <xf numFmtId="49" fontId="4" fillId="0" borderId="1" xfId="1" applyNumberFormat="1" applyFont="1" applyBorder="1" applyAlignment="1">
      <alignment horizontal="right" vertical="center" indent="1"/>
    </xf>
    <xf numFmtId="49" fontId="4" fillId="0" borderId="1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0" fontId="15" fillId="8" borderId="12" xfId="1" applyFont="1" applyFill="1" applyBorder="1" applyAlignment="1">
      <alignment vertical="center"/>
    </xf>
    <xf numFmtId="0" fontId="15" fillId="8" borderId="14" xfId="1" applyFont="1" applyFill="1" applyBorder="1" applyAlignment="1">
      <alignment vertical="center"/>
    </xf>
    <xf numFmtId="49" fontId="5" fillId="0" borderId="10" xfId="1" applyNumberFormat="1" applyFont="1" applyBorder="1" applyAlignment="1">
      <alignment horizontal="right" vertical="center" indent="1"/>
    </xf>
    <xf numFmtId="49" fontId="5" fillId="0" borderId="0" xfId="1" applyNumberFormat="1" applyFont="1" applyAlignment="1">
      <alignment horizontal="right" vertical="center" indent="1"/>
    </xf>
    <xf numFmtId="49" fontId="5" fillId="0" borderId="7" xfId="1" applyNumberFormat="1" applyFont="1" applyBorder="1" applyAlignment="1">
      <alignment horizontal="right" vertical="center" indent="1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38" xfId="1" applyNumberFormat="1" applyFont="1" applyBorder="1" applyAlignment="1">
      <alignment vertical="center"/>
    </xf>
    <xf numFmtId="49" fontId="5" fillId="0" borderId="6" xfId="1" applyNumberFormat="1" applyFont="1" applyBorder="1" applyAlignment="1">
      <alignment horizontal="right" vertical="center" indent="1"/>
    </xf>
    <xf numFmtId="49" fontId="5" fillId="0" borderId="8" xfId="1" applyNumberFormat="1" applyFont="1" applyBorder="1" applyAlignment="1">
      <alignment horizontal="right" vertical="center" indent="1"/>
    </xf>
    <xf numFmtId="49" fontId="6" fillId="0" borderId="14" xfId="1" applyNumberFormat="1" applyFont="1" applyBorder="1" applyAlignment="1">
      <alignment horizontal="right" vertical="center" indent="1"/>
    </xf>
    <xf numFmtId="49" fontId="5" fillId="0" borderId="11" xfId="1" applyNumberFormat="1" applyFont="1" applyBorder="1" applyAlignment="1">
      <alignment vertical="center"/>
    </xf>
    <xf numFmtId="49" fontId="6" fillId="2" borderId="2" xfId="1" applyNumberFormat="1" applyFont="1" applyFill="1" applyBorder="1" applyAlignment="1" applyProtection="1">
      <alignment horizontal="left" vertical="center"/>
      <protection locked="0"/>
    </xf>
    <xf numFmtId="49" fontId="5" fillId="0" borderId="9" xfId="1" applyNumberFormat="1" applyFont="1" applyBorder="1" applyAlignment="1">
      <alignment horizontal="right" vertical="center" indent="1"/>
    </xf>
    <xf numFmtId="49" fontId="4" fillId="0" borderId="12" xfId="1" applyNumberFormat="1" applyFont="1" applyBorder="1" applyAlignment="1">
      <alignment horizontal="right" vertical="center" indent="1"/>
    </xf>
    <xf numFmtId="49" fontId="4" fillId="0" borderId="14" xfId="1" applyNumberFormat="1" applyFont="1" applyBorder="1" applyAlignment="1">
      <alignment horizontal="right" vertical="center" indent="1"/>
    </xf>
    <xf numFmtId="14" fontId="7" fillId="5" borderId="14" xfId="1" applyNumberFormat="1" applyFont="1" applyFill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 wrapText="1"/>
    </xf>
    <xf numFmtId="49" fontId="1" fillId="0" borderId="26" xfId="1" applyNumberForma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49" fontId="2" fillId="0" borderId="14" xfId="1" applyNumberFormat="1" applyFont="1" applyBorder="1" applyAlignment="1">
      <alignment horizontal="center" vertical="center"/>
    </xf>
    <xf numFmtId="0" fontId="4" fillId="14" borderId="12" xfId="1" applyFont="1" applyFill="1" applyBorder="1" applyAlignment="1">
      <alignment horizontal="right" vertical="center" indent="1"/>
    </xf>
    <xf numFmtId="0" fontId="4" fillId="14" borderId="14" xfId="1" applyFont="1" applyFill="1" applyBorder="1" applyAlignment="1">
      <alignment horizontal="right" vertical="center" indent="1"/>
    </xf>
    <xf numFmtId="0" fontId="26" fillId="0" borderId="14" xfId="1" applyFont="1" applyBorder="1" applyAlignment="1">
      <alignment vertical="center"/>
    </xf>
    <xf numFmtId="0" fontId="26" fillId="0" borderId="13" xfId="1" applyFont="1" applyBorder="1" applyAlignment="1">
      <alignment vertical="center"/>
    </xf>
    <xf numFmtId="0" fontId="2" fillId="5" borderId="43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vertical="center"/>
      <protection locked="0"/>
    </xf>
    <xf numFmtId="2" fontId="2" fillId="0" borderId="32" xfId="1" applyNumberFormat="1" applyFont="1" applyBorder="1" applyAlignment="1">
      <alignment horizontal="right" vertical="center"/>
    </xf>
    <xf numFmtId="2" fontId="2" fillId="0" borderId="30" xfId="1" applyNumberFormat="1" applyFont="1" applyBorder="1" applyAlignment="1">
      <alignment horizontal="right" vertical="center"/>
    </xf>
    <xf numFmtId="0" fontId="2" fillId="0" borderId="48" xfId="1" applyFont="1" applyBorder="1" applyAlignment="1">
      <alignment horizontal="center" vertical="center"/>
    </xf>
    <xf numFmtId="0" fontId="2" fillId="13" borderId="2" xfId="1" applyFont="1" applyFill="1" applyBorder="1" applyAlignment="1">
      <alignment vertical="center"/>
    </xf>
    <xf numFmtId="0" fontId="2" fillId="0" borderId="43" xfId="1" applyFont="1" applyBorder="1" applyAlignment="1">
      <alignment vertical="center"/>
    </xf>
    <xf numFmtId="49" fontId="8" fillId="0" borderId="24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21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26" xfId="1" applyNumberFormat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" fillId="13" borderId="43" xfId="1" applyFont="1" applyFill="1" applyBorder="1" applyAlignment="1">
      <alignment vertical="center"/>
    </xf>
    <xf numFmtId="167" fontId="4" fillId="0" borderId="15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5" fontId="4" fillId="0" borderId="28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165" fontId="4" fillId="0" borderId="26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0" xfId="1" applyBorder="1" applyAlignment="1">
      <alignment horizontal="right" vertical="center" indent="2"/>
    </xf>
    <xf numFmtId="0" fontId="1" fillId="0" borderId="0" xfId="1" applyAlignment="1">
      <alignment horizontal="right" vertical="center" indent="2"/>
    </xf>
    <xf numFmtId="0" fontId="2" fillId="0" borderId="53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2" fontId="2" fillId="0" borderId="71" xfId="1" applyNumberFormat="1" applyFont="1" applyBorder="1" applyAlignment="1">
      <alignment vertical="center"/>
    </xf>
    <xf numFmtId="2" fontId="2" fillId="0" borderId="72" xfId="1" applyNumberFormat="1" applyFont="1" applyBorder="1" applyAlignment="1">
      <alignment vertical="center"/>
    </xf>
    <xf numFmtId="0" fontId="2" fillId="0" borderId="71" xfId="1" applyFont="1" applyBorder="1" applyAlignment="1">
      <alignment vertical="center"/>
    </xf>
    <xf numFmtId="0" fontId="2" fillId="0" borderId="74" xfId="1" applyFont="1" applyBorder="1" applyAlignment="1">
      <alignment vertical="center"/>
    </xf>
    <xf numFmtId="0" fontId="1" fillId="0" borderId="3" xfId="1" applyBorder="1" applyAlignment="1">
      <alignment horizontal="center" vertical="center" wrapText="1"/>
    </xf>
    <xf numFmtId="0" fontId="8" fillId="0" borderId="14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2" fontId="8" fillId="5" borderId="32" xfId="1" applyNumberFormat="1" applyFont="1" applyFill="1" applyBorder="1" applyAlignment="1">
      <alignment horizontal="right" vertical="center"/>
    </xf>
    <xf numFmtId="0" fontId="8" fillId="5" borderId="30" xfId="1" applyFont="1" applyFill="1" applyBorder="1" applyAlignment="1">
      <alignment horizontal="right" vertical="center"/>
    </xf>
    <xf numFmtId="0" fontId="8" fillId="0" borderId="12" xfId="1" applyFont="1" applyBorder="1" applyAlignment="1">
      <alignment horizontal="left" vertical="center" indent="1"/>
    </xf>
    <xf numFmtId="0" fontId="8" fillId="0" borderId="30" xfId="1" applyFont="1" applyBorder="1" applyAlignment="1">
      <alignment horizontal="left" vertical="center" indent="1"/>
    </xf>
    <xf numFmtId="49" fontId="4" fillId="0" borderId="5" xfId="1" applyNumberFormat="1" applyFont="1" applyBorder="1" applyAlignment="1">
      <alignment horizontal="center" vertical="center" wrapText="1"/>
    </xf>
    <xf numFmtId="49" fontId="16" fillId="0" borderId="10" xfId="1" applyNumberFormat="1" applyFont="1" applyBorder="1" applyAlignment="1">
      <alignment horizontal="center" vertical="center" wrapText="1"/>
    </xf>
    <xf numFmtId="49" fontId="16" fillId="0" borderId="21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6" fillId="0" borderId="26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16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2" fillId="0" borderId="38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" xfId="1" applyBorder="1" applyAlignment="1">
      <alignment vertical="center"/>
    </xf>
    <xf numFmtId="0" fontId="8" fillId="6" borderId="3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2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66" xfId="1" applyBorder="1" applyAlignment="1">
      <alignment vertical="center"/>
    </xf>
    <xf numFmtId="0" fontId="1" fillId="0" borderId="15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8" fillId="12" borderId="12" xfId="1" applyFont="1" applyFill="1" applyBorder="1" applyAlignment="1">
      <alignment vertical="center"/>
    </xf>
    <xf numFmtId="0" fontId="8" fillId="12" borderId="13" xfId="1" applyFont="1" applyFill="1" applyBorder="1" applyAlignment="1">
      <alignment vertical="center"/>
    </xf>
    <xf numFmtId="0" fontId="8" fillId="5" borderId="15" xfId="1" applyFont="1" applyFill="1" applyBorder="1" applyAlignment="1">
      <alignment vertical="center"/>
    </xf>
    <xf numFmtId="0" fontId="8" fillId="5" borderId="5" xfId="1" applyFont="1" applyFill="1" applyBorder="1" applyAlignment="1">
      <alignment vertical="center"/>
    </xf>
    <xf numFmtId="2" fontId="15" fillId="8" borderId="3" xfId="1" applyNumberFormat="1" applyFont="1" applyFill="1" applyBorder="1" applyAlignment="1">
      <alignment vertical="center"/>
    </xf>
    <xf numFmtId="0" fontId="8" fillId="6" borderId="12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/>
    </xf>
    <xf numFmtId="0" fontId="8" fillId="6" borderId="13" xfId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left" vertical="center"/>
    </xf>
    <xf numFmtId="0" fontId="8" fillId="5" borderId="12" xfId="1" applyFont="1" applyFill="1" applyBorder="1" applyAlignment="1">
      <alignment vertical="center"/>
    </xf>
    <xf numFmtId="0" fontId="8" fillId="5" borderId="14" xfId="1" applyFont="1" applyFill="1" applyBorder="1" applyAlignment="1">
      <alignment vertical="center"/>
    </xf>
    <xf numFmtId="0" fontId="8" fillId="5" borderId="13" xfId="1" applyFont="1" applyFill="1" applyBorder="1" applyAlignment="1">
      <alignment vertical="center"/>
    </xf>
    <xf numFmtId="0" fontId="23" fillId="4" borderId="12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left" vertical="center"/>
    </xf>
    <xf numFmtId="0" fontId="23" fillId="4" borderId="13" xfId="0" applyFont="1" applyFill="1" applyBorder="1" applyAlignment="1">
      <alignment horizontal="left" vertical="center"/>
    </xf>
    <xf numFmtId="0" fontId="8" fillId="4" borderId="3" xfId="1" applyFont="1" applyFill="1" applyBorder="1" applyAlignment="1">
      <alignment vertical="center"/>
    </xf>
    <xf numFmtId="0" fontId="8" fillId="6" borderId="39" xfId="1" applyFont="1" applyFill="1" applyBorder="1" applyAlignment="1">
      <alignment vertical="center"/>
    </xf>
    <xf numFmtId="0" fontId="8" fillId="6" borderId="40" xfId="1" applyFont="1" applyFill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19" xfId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0" fontId="1" fillId="0" borderId="6" xfId="1" applyBorder="1" applyAlignment="1">
      <alignment vertical="center"/>
    </xf>
    <xf numFmtId="0" fontId="1" fillId="0" borderId="9" xfId="1" applyBorder="1" applyAlignment="1">
      <alignment vertical="center"/>
    </xf>
    <xf numFmtId="0" fontId="23" fillId="4" borderId="3" xfId="0" applyFont="1" applyFill="1" applyBorder="1" applyAlignment="1">
      <alignment horizontal="left" vertical="center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49" fontId="11" fillId="0" borderId="12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</cellXfs>
  <cellStyles count="2">
    <cellStyle name="Standard" xfId="0" builtinId="0"/>
    <cellStyle name="Standard 2" xfId="1" xr:uid="{00000000-0005-0000-0000-000001000000}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99"/>
      <color rgb="FFFFFFCC"/>
      <color rgb="FFFFFF99"/>
      <color rgb="FFCCECFF"/>
      <color rgb="FFE6E6E6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109</xdr:col>
      <xdr:colOff>0</xdr:colOff>
      <xdr:row>18</xdr:row>
      <xdr:rowOff>0</xdr:rowOff>
    </xdr:from>
    <xdr:to>
      <xdr:col>109</xdr:col>
      <xdr:colOff>76200</xdr:colOff>
      <xdr:row>18</xdr:row>
      <xdr:rowOff>76200</xdr:rowOff>
    </xdr:to>
    <xdr:sp macro="" textlink="">
      <xdr:nvSpPr>
        <xdr:cNvPr id="2" name="ComboBox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0462200" y="3581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109</xdr:col>
      <xdr:colOff>0</xdr:colOff>
      <xdr:row>18</xdr:row>
      <xdr:rowOff>0</xdr:rowOff>
    </xdr:from>
    <xdr:to>
      <xdr:col>109</xdr:col>
      <xdr:colOff>76200</xdr:colOff>
      <xdr:row>18</xdr:row>
      <xdr:rowOff>76200</xdr:rowOff>
    </xdr:to>
    <xdr:pic>
      <xdr:nvPicPr>
        <xdr:cNvPr id="3" name="ComboBox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0" y="3581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1</xdr:row>
      <xdr:rowOff>63500</xdr:rowOff>
    </xdr:from>
    <xdr:to>
      <xdr:col>15</xdr:col>
      <xdr:colOff>671103</xdr:colOff>
      <xdr:row>2</xdr:row>
      <xdr:rowOff>91704</xdr:rowOff>
    </xdr:to>
    <xdr:pic>
      <xdr:nvPicPr>
        <xdr:cNvPr id="5" name="Grafik 4" descr="C:\Users\Frank\AppData\Local\Microsoft\Windows\INetCache\Content.Outlook\K96KZ1KE\Logo A_blac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6350" y="190500"/>
          <a:ext cx="644750" cy="404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355600</xdr:colOff>
      <xdr:row>2</xdr:row>
      <xdr:rowOff>190500</xdr:rowOff>
    </xdr:from>
    <xdr:to>
      <xdr:col>16</xdr:col>
      <xdr:colOff>175577</xdr:colOff>
      <xdr:row>2</xdr:row>
      <xdr:rowOff>281623</xdr:rowOff>
    </xdr:to>
    <xdr:pic>
      <xdr:nvPicPr>
        <xdr:cNvPr id="7" name="Grafik 6" descr="C:\Users\Frank\AppData\Local\Microsoft\Windows\INetCache\Content.Outlook\K96KZ1KE\Logo B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698500"/>
          <a:ext cx="546099" cy="82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25400</xdr:rowOff>
    </xdr:from>
    <xdr:to>
      <xdr:col>2</xdr:col>
      <xdr:colOff>131128</xdr:colOff>
      <xdr:row>2</xdr:row>
      <xdr:rowOff>324803</xdr:rowOff>
    </xdr:to>
    <xdr:pic>
      <xdr:nvPicPr>
        <xdr:cNvPr id="8" name="Grafik 7" descr="C:\Users\Frank\AppData\Local\Microsoft\Windows\INetCache\Content.Outlook\K96KZ1KE\Logo_TTBW_sw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723900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lfgang\Documents\1%20Tischtennis\4%20%20TTBW\1%20%20Organisation+Verwaltung\8%20%20TTBW-Formulare\1%20%20Aktuelle%20Versionen\FO_TTBW-07e%20Abr-Veranst%20v3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Deckblatt St.2011-03-30"/>
      <sheetName val="2 Zusammenstellung"/>
      <sheetName val="3 Auszahlung-Zusammenst"/>
      <sheetName val="4 Honorar+TG, Betreuer"/>
      <sheetName val="5 Fahrgeld + s.A."/>
      <sheetName val="6 Sonstige Kosten"/>
      <sheetName val="7 Turnierleitung+Schiri"/>
      <sheetName val="8 Empfangsblatt Team"/>
      <sheetName val="9 Empfangsblatt TL+Schiri"/>
      <sheetName val="10 Auszahl-Beschein"/>
      <sheetName val="11 Anleitung"/>
      <sheetName val="12 Historie"/>
    </sheetNames>
    <sheetDataSet>
      <sheetData sheetId="0">
        <row r="3">
          <cell r="N3">
            <v>12345678</v>
          </cell>
        </row>
      </sheetData>
      <sheetData sheetId="1" refreshError="1"/>
      <sheetData sheetId="2" refreshError="1"/>
      <sheetData sheetId="3">
        <row r="11">
          <cell r="W11" t="str">
            <v>X</v>
          </cell>
        </row>
        <row r="12">
          <cell r="W12" t="str">
            <v>x</v>
          </cell>
        </row>
        <row r="86">
          <cell r="R86" t="str">
            <v>Delegationsleiter</v>
          </cell>
        </row>
        <row r="87">
          <cell r="R87" t="str">
            <v>Physiotherapeut</v>
          </cell>
        </row>
        <row r="88">
          <cell r="R88" t="str">
            <v>Andere</v>
          </cell>
        </row>
      </sheetData>
      <sheetData sheetId="4">
        <row r="20">
          <cell r="X20" t="str">
            <v>Parkgebühren</v>
          </cell>
        </row>
        <row r="21">
          <cell r="X21" t="str">
            <v>Flugtickets</v>
          </cell>
        </row>
        <row r="22">
          <cell r="X22" t="str">
            <v>Andere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S525"/>
  <sheetViews>
    <sheetView showGridLines="0" tabSelected="1" zoomScaleNormal="100" zoomScaleSheetLayoutView="90" workbookViewId="0">
      <selection activeCell="T19" sqref="T19:U19"/>
    </sheetView>
  </sheetViews>
  <sheetFormatPr baseColWidth="10" defaultColWidth="2.77734375" defaultRowHeight="13.8" x14ac:dyDescent="0.3"/>
  <cols>
    <col min="1" max="1" width="2.77734375" style="26" customWidth="1"/>
    <col min="2" max="2" width="10.21875" style="1" customWidth="1"/>
    <col min="3" max="3" width="2.77734375" style="1" customWidth="1"/>
    <col min="4" max="5" width="6.77734375" style="1" customWidth="1"/>
    <col min="6" max="6" width="3.77734375" style="1" customWidth="1"/>
    <col min="7" max="8" width="6.21875" style="1" customWidth="1"/>
    <col min="9" max="9" width="4.77734375" style="1" customWidth="1"/>
    <col min="10" max="10" width="3.77734375" style="1" customWidth="1"/>
    <col min="11" max="11" width="4.77734375" style="1" customWidth="1"/>
    <col min="12" max="12" width="8.21875" style="1" customWidth="1"/>
    <col min="13" max="13" width="7.77734375" style="1" customWidth="1"/>
    <col min="14" max="14" width="8.21875" style="1" customWidth="1"/>
    <col min="15" max="15" width="7.77734375" style="1" customWidth="1"/>
    <col min="16" max="16" width="10.21875" style="1" customWidth="1"/>
    <col min="17" max="17" width="8.77734375" style="1" customWidth="1"/>
    <col min="18" max="18" width="7.77734375" style="1" customWidth="1"/>
    <col min="19" max="19" width="3.77734375" style="1" customWidth="1"/>
    <col min="20" max="20" width="4.77734375" style="1" customWidth="1"/>
    <col min="21" max="21" width="17.77734375" style="1" customWidth="1"/>
    <col min="22" max="22" width="5.77734375" style="1" customWidth="1"/>
    <col min="23" max="23" width="4.21875" style="1" customWidth="1"/>
    <col min="24" max="24" width="3.77734375" style="1" customWidth="1"/>
    <col min="25" max="25" width="6" style="17" customWidth="1"/>
    <col min="26" max="26" width="4.77734375" style="14" hidden="1" customWidth="1"/>
    <col min="27" max="31" width="3.21875" style="14" hidden="1" customWidth="1"/>
    <col min="32" max="32" width="2.77734375" style="14" hidden="1" customWidth="1"/>
    <col min="33" max="33" width="3.77734375" style="19" hidden="1" customWidth="1"/>
    <col min="34" max="34" width="4.21875" style="19" hidden="1" customWidth="1"/>
    <col min="35" max="35" width="9.44140625" style="19" hidden="1" customWidth="1"/>
    <col min="36" max="36" width="8.77734375" style="14" hidden="1" customWidth="1"/>
    <col min="37" max="37" width="9.44140625" style="19" hidden="1" customWidth="1"/>
    <col min="38" max="38" width="9.44140625" style="1" hidden="1" customWidth="1"/>
    <col min="39" max="39" width="3.77734375" style="1" hidden="1" customWidth="1"/>
    <col min="40" max="40" width="5.21875" style="1" hidden="1" customWidth="1"/>
    <col min="41" max="41" width="27" style="1" hidden="1" customWidth="1"/>
    <col min="42" max="42" width="7.77734375" style="1" hidden="1" customWidth="1"/>
    <col min="43" max="43" width="3.77734375" style="26" hidden="1" customWidth="1"/>
    <col min="44" max="44" width="6" style="1" hidden="1" customWidth="1"/>
    <col min="45" max="45" width="1.77734375" style="1" hidden="1" customWidth="1"/>
    <col min="46" max="46" width="14" style="14" hidden="1" customWidth="1"/>
    <col min="47" max="47" width="24.77734375" style="19" hidden="1" customWidth="1"/>
    <col min="48" max="50" width="8.21875" style="14" hidden="1" customWidth="1"/>
    <col min="51" max="52" width="8.21875" style="19" hidden="1" customWidth="1"/>
    <col min="53" max="53" width="10.44140625" style="19" hidden="1" customWidth="1"/>
    <col min="54" max="58" width="8.21875" style="19" hidden="1" customWidth="1"/>
    <col min="59" max="59" width="2.21875" style="19" hidden="1" customWidth="1"/>
    <col min="60" max="61" width="7.77734375" style="14" hidden="1" customWidth="1"/>
    <col min="62" max="62" width="5.77734375" style="19" customWidth="1"/>
    <col min="63" max="63" width="8" style="19" customWidth="1"/>
    <col min="64" max="65" width="5.77734375" style="19" customWidth="1"/>
    <col min="66" max="66" width="6.5546875" style="19" bestFit="1" customWidth="1"/>
    <col min="67" max="69" width="5.77734375" style="19" customWidth="1"/>
    <col min="70" max="148" width="5.77734375" style="1" customWidth="1"/>
    <col min="149" max="16384" width="2.77734375" style="1"/>
  </cols>
  <sheetData>
    <row r="1" spans="2:58" ht="10.050000000000001" customHeight="1" x14ac:dyDescent="0.3"/>
    <row r="2" spans="2:58" ht="30" customHeight="1" x14ac:dyDescent="0.3">
      <c r="B2" s="433" t="s">
        <v>23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5"/>
      <c r="R2" s="204"/>
      <c r="S2" s="446" t="s">
        <v>24</v>
      </c>
      <c r="T2" s="446"/>
      <c r="U2" s="446"/>
      <c r="V2" s="446"/>
      <c r="W2" s="31"/>
      <c r="Y2" s="32"/>
      <c r="AL2" s="519" t="s">
        <v>21</v>
      </c>
      <c r="AM2" s="519"/>
      <c r="AN2" s="126">
        <v>1</v>
      </c>
      <c r="AO2" s="278" t="s">
        <v>192</v>
      </c>
      <c r="AP2" s="278"/>
      <c r="AQ2" s="14"/>
      <c r="AR2" s="19"/>
      <c r="AS2" s="19"/>
    </row>
    <row r="3" spans="2:58" ht="30" customHeight="1" x14ac:dyDescent="0.3">
      <c r="B3" s="436" t="s">
        <v>25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8"/>
      <c r="R3" s="33"/>
      <c r="S3" s="447" t="s">
        <v>26</v>
      </c>
      <c r="T3" s="447"/>
      <c r="U3" s="447"/>
      <c r="V3" s="447"/>
      <c r="W3" s="34"/>
      <c r="Y3" s="14"/>
      <c r="AA3" s="23"/>
      <c r="AN3" s="126">
        <v>2</v>
      </c>
      <c r="AO3" s="278" t="s">
        <v>15</v>
      </c>
      <c r="AP3" s="278"/>
      <c r="AQ3" s="14"/>
      <c r="AR3" s="19"/>
      <c r="AS3" s="19"/>
    </row>
    <row r="4" spans="2:58" ht="10.050000000000001" customHeight="1" x14ac:dyDescent="0.3">
      <c r="B4" s="439"/>
      <c r="C4" s="439"/>
      <c r="D4" s="439"/>
      <c r="E4" s="439"/>
      <c r="F4" s="440"/>
      <c r="G4" s="440"/>
      <c r="H4" s="440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Y4" s="14"/>
      <c r="AA4" s="23"/>
      <c r="AN4" s="262"/>
      <c r="AO4" s="501"/>
      <c r="AP4" s="501"/>
      <c r="AQ4" s="14"/>
      <c r="AR4" s="19"/>
      <c r="AS4" s="19"/>
    </row>
    <row r="5" spans="2:58" ht="22.05" customHeight="1" x14ac:dyDescent="0.3">
      <c r="B5" s="404" t="s">
        <v>191</v>
      </c>
      <c r="C5" s="405"/>
      <c r="D5" s="405"/>
      <c r="E5" s="405"/>
      <c r="F5" s="406"/>
      <c r="G5" s="406"/>
      <c r="H5" s="406"/>
      <c r="I5" s="406"/>
      <c r="J5" s="406"/>
      <c r="K5" s="406"/>
      <c r="L5" s="406"/>
      <c r="M5" s="406"/>
      <c r="N5" s="407"/>
      <c r="O5" s="404" t="s">
        <v>27</v>
      </c>
      <c r="P5" s="405"/>
      <c r="Q5" s="405"/>
      <c r="R5" s="406"/>
      <c r="S5" s="406"/>
      <c r="T5" s="406"/>
      <c r="U5" s="406"/>
      <c r="V5" s="406"/>
      <c r="W5" s="159"/>
      <c r="Y5" s="14"/>
      <c r="Z5" s="408" t="s">
        <v>20</v>
      </c>
      <c r="AA5" s="409"/>
      <c r="AB5" s="409"/>
      <c r="AC5" s="409"/>
      <c r="AD5" s="409"/>
      <c r="AE5" s="409"/>
      <c r="AN5" s="126">
        <v>3</v>
      </c>
      <c r="AO5" s="278" t="s">
        <v>28</v>
      </c>
      <c r="AP5" s="278"/>
      <c r="AQ5" s="14"/>
      <c r="AR5" s="19"/>
      <c r="AS5" s="19"/>
    </row>
    <row r="6" spans="2:58" ht="22.05" customHeight="1" x14ac:dyDescent="0.3">
      <c r="B6" s="410" t="s">
        <v>29</v>
      </c>
      <c r="C6" s="411"/>
      <c r="D6" s="411"/>
      <c r="E6" s="411"/>
      <c r="F6" s="422"/>
      <c r="G6" s="422"/>
      <c r="H6" s="422"/>
      <c r="I6" s="422"/>
      <c r="J6" s="422"/>
      <c r="K6" s="422"/>
      <c r="L6" s="422"/>
      <c r="M6" s="422"/>
      <c r="N6" s="15"/>
      <c r="O6" s="410" t="s">
        <v>11</v>
      </c>
      <c r="P6" s="411"/>
      <c r="Q6" s="411"/>
      <c r="R6" s="448"/>
      <c r="S6" s="448"/>
      <c r="T6" s="448"/>
      <c r="U6" s="448"/>
      <c r="V6" s="448"/>
      <c r="W6" s="205"/>
      <c r="Y6" s="14"/>
      <c r="Z6" s="35">
        <f>IF(F6="",1,"")</f>
        <v>1</v>
      </c>
      <c r="AA6" s="18">
        <v>1</v>
      </c>
      <c r="AN6" s="126">
        <v>4</v>
      </c>
      <c r="AO6" s="278" t="s">
        <v>30</v>
      </c>
      <c r="AP6" s="278"/>
      <c r="AQ6" s="14"/>
      <c r="AR6" s="19"/>
      <c r="AS6" s="19"/>
    </row>
    <row r="7" spans="2:58" ht="6" customHeight="1" x14ac:dyDescent="0.3">
      <c r="B7" s="410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2"/>
      <c r="O7" s="410"/>
      <c r="P7" s="411"/>
      <c r="Q7" s="411"/>
      <c r="R7" s="421"/>
      <c r="S7" s="421"/>
      <c r="T7" s="421"/>
      <c r="U7" s="421"/>
      <c r="V7" s="421"/>
      <c r="W7" s="147"/>
      <c r="Y7" s="14"/>
      <c r="Z7" s="16"/>
      <c r="AA7" s="18"/>
      <c r="AN7" s="262"/>
      <c r="AO7" s="501"/>
      <c r="AP7" s="501"/>
      <c r="AQ7" s="14"/>
      <c r="AR7" s="19"/>
      <c r="AS7" s="19"/>
      <c r="AV7" s="127"/>
      <c r="AW7" s="127"/>
      <c r="AX7" s="127"/>
    </row>
    <row r="8" spans="2:58" ht="22.05" customHeight="1" x14ac:dyDescent="0.3">
      <c r="B8" s="410" t="s">
        <v>31</v>
      </c>
      <c r="C8" s="411"/>
      <c r="D8" s="411"/>
      <c r="E8" s="411"/>
      <c r="F8" s="422"/>
      <c r="G8" s="422"/>
      <c r="H8" s="422"/>
      <c r="I8" s="422"/>
      <c r="J8" s="422"/>
      <c r="K8" s="422"/>
      <c r="L8" s="422"/>
      <c r="M8" s="422"/>
      <c r="N8" s="15"/>
      <c r="O8" s="410" t="s">
        <v>200</v>
      </c>
      <c r="P8" s="411"/>
      <c r="Q8" s="411"/>
      <c r="R8" s="448"/>
      <c r="S8" s="448"/>
      <c r="T8" s="448"/>
      <c r="U8" s="448"/>
      <c r="V8" s="448"/>
      <c r="W8" s="206"/>
      <c r="Y8" s="20"/>
      <c r="Z8" s="35" t="str">
        <f>IF(F6="","",IF(OR(F8="",F10=""),2,""))</f>
        <v/>
      </c>
      <c r="AA8" s="18">
        <v>2</v>
      </c>
      <c r="AN8" s="126">
        <v>5</v>
      </c>
      <c r="AO8" s="294" t="s">
        <v>195</v>
      </c>
      <c r="AP8" s="272"/>
      <c r="AQ8" s="272"/>
      <c r="AR8" s="272"/>
      <c r="AS8" s="272"/>
      <c r="AT8" s="272"/>
    </row>
    <row r="9" spans="2:58" ht="6" customHeight="1" x14ac:dyDescent="0.3">
      <c r="B9" s="410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2"/>
      <c r="O9" s="410"/>
      <c r="P9" s="411"/>
      <c r="Q9" s="411"/>
      <c r="R9" s="421"/>
      <c r="S9" s="421"/>
      <c r="T9" s="421"/>
      <c r="U9" s="421"/>
      <c r="V9" s="421"/>
      <c r="W9" s="147"/>
      <c r="Y9" s="20"/>
      <c r="Z9" s="16"/>
      <c r="AA9" s="18"/>
      <c r="AN9" s="262"/>
      <c r="AO9" s="501"/>
      <c r="AP9" s="501"/>
      <c r="AQ9" s="19"/>
      <c r="AR9" s="19"/>
      <c r="AS9" s="19"/>
      <c r="AT9" s="19"/>
      <c r="AV9" s="128"/>
      <c r="AW9" s="128"/>
      <c r="AX9" s="128"/>
    </row>
    <row r="10" spans="2:58" ht="22.05" customHeight="1" x14ac:dyDescent="0.3">
      <c r="B10" s="410" t="s">
        <v>0</v>
      </c>
      <c r="C10" s="411"/>
      <c r="D10" s="411"/>
      <c r="E10" s="411"/>
      <c r="F10" s="422"/>
      <c r="G10" s="422"/>
      <c r="H10" s="422"/>
      <c r="I10" s="422"/>
      <c r="J10" s="422"/>
      <c r="K10" s="422"/>
      <c r="L10" s="422"/>
      <c r="M10" s="422"/>
      <c r="N10" s="15"/>
      <c r="O10" s="410" t="s">
        <v>201</v>
      </c>
      <c r="P10" s="411"/>
      <c r="Q10" s="411"/>
      <c r="R10" s="448"/>
      <c r="S10" s="448"/>
      <c r="T10" s="448"/>
      <c r="U10" s="448"/>
      <c r="V10" s="448"/>
      <c r="W10" s="206"/>
      <c r="Y10" s="20"/>
      <c r="Z10" s="21" t="str">
        <f>IF(F6="","",IF(OR(R6="",R8="",R10=""),3,""))</f>
        <v/>
      </c>
      <c r="AA10" s="18">
        <v>3</v>
      </c>
      <c r="AH10" s="316" t="s">
        <v>14</v>
      </c>
      <c r="AI10" s="316" t="s">
        <v>18</v>
      </c>
      <c r="AJ10" s="316" t="s">
        <v>32</v>
      </c>
      <c r="AK10" s="316" t="s">
        <v>33</v>
      </c>
      <c r="AL10" s="316" t="s">
        <v>34</v>
      </c>
      <c r="AM10" s="127"/>
      <c r="AN10" s="126">
        <v>6</v>
      </c>
      <c r="AO10" s="294" t="s">
        <v>197</v>
      </c>
      <c r="AP10" s="272"/>
      <c r="AQ10" s="272"/>
      <c r="AR10" s="272"/>
      <c r="AS10" s="272"/>
      <c r="AT10" s="272"/>
      <c r="AU10" s="295"/>
      <c r="AV10" s="315" t="str">
        <f t="shared" ref="AV10" si="0">$AJ$71</f>
        <v>Fahrtkosten ÖPNV</v>
      </c>
      <c r="AW10" s="315" t="str">
        <f>$AJ$72</f>
        <v>Fahrtkosten PKW</v>
      </c>
      <c r="AX10" s="315" t="str">
        <f>$AJ$73</f>
        <v>Tagegeld</v>
      </c>
      <c r="AY10" s="314" t="str">
        <f t="shared" ref="AY10" si="1">$AJ$61</f>
        <v>Mietwagen/ Bus</v>
      </c>
      <c r="AZ10" s="314" t="str">
        <f>$AJ$62</f>
        <v>Hotel-Kosten</v>
      </c>
      <c r="BA10" s="314" t="str">
        <f>$AJ$63</f>
        <v>Sportschule</v>
      </c>
      <c r="BB10" s="314" t="str">
        <f>$AJ$64</f>
        <v>Bewirtung</v>
      </c>
      <c r="BC10" s="314" t="str">
        <f>$AJ$65</f>
        <v>Raummiete</v>
      </c>
      <c r="BD10" s="314" t="str">
        <f>$AJ$66</f>
        <v>Sonst. Reisekosten</v>
      </c>
      <c r="BE10" s="314" t="str">
        <f>$AJ$67</f>
        <v>Geschenke</v>
      </c>
      <c r="BF10" s="314" t="str">
        <f>$AJ$68</f>
        <v>Repräsentation</v>
      </c>
    </row>
    <row r="11" spans="2:58" ht="6" customHeight="1" x14ac:dyDescent="0.3">
      <c r="B11" s="418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23"/>
      <c r="O11" s="418"/>
      <c r="P11" s="419"/>
      <c r="Q11" s="419"/>
      <c r="R11" s="417"/>
      <c r="S11" s="417"/>
      <c r="T11" s="417"/>
      <c r="U11" s="417"/>
      <c r="V11" s="417"/>
      <c r="W11" s="131"/>
      <c r="Y11" s="20"/>
      <c r="Z11" s="16"/>
      <c r="AA11" s="18"/>
      <c r="AH11" s="316"/>
      <c r="AI11" s="316"/>
      <c r="AJ11" s="316"/>
      <c r="AK11" s="316"/>
      <c r="AL11" s="316"/>
      <c r="AM11" s="127"/>
      <c r="AN11" s="262"/>
      <c r="AO11" s="501"/>
      <c r="AP11" s="501"/>
      <c r="AQ11" s="19"/>
      <c r="AR11" s="19"/>
      <c r="AS11" s="19"/>
      <c r="AT11" s="19"/>
      <c r="AV11" s="316"/>
      <c r="AW11" s="316"/>
      <c r="AX11" s="316"/>
      <c r="AY11" s="314"/>
      <c r="AZ11" s="314"/>
      <c r="BA11" s="314"/>
      <c r="BB11" s="314"/>
      <c r="BC11" s="314"/>
      <c r="BD11" s="314"/>
      <c r="BE11" s="314"/>
      <c r="BF11" s="314"/>
    </row>
    <row r="12" spans="2:58" ht="22.05" customHeight="1" x14ac:dyDescent="0.3">
      <c r="B12" s="424" t="s">
        <v>35</v>
      </c>
      <c r="C12" s="425"/>
      <c r="D12" s="425"/>
      <c r="E12" s="425"/>
      <c r="F12" s="426">
        <f>IF(AH42=0,"",MIN(B19:B41))</f>
        <v>0</v>
      </c>
      <c r="G12" s="426"/>
      <c r="H12" s="426"/>
      <c r="I12" s="420" t="s">
        <v>36</v>
      </c>
      <c r="J12" s="420"/>
      <c r="K12" s="426">
        <f>IF(AH42=0,"",MAX(B19:B41))</f>
        <v>0</v>
      </c>
      <c r="L12" s="426"/>
      <c r="M12" s="426"/>
      <c r="N12" s="36"/>
      <c r="O12" s="496"/>
      <c r="P12" s="496"/>
      <c r="Q12" s="496"/>
      <c r="R12" s="496"/>
      <c r="S12" s="496"/>
      <c r="T12" s="496"/>
      <c r="U12" s="496"/>
      <c r="V12" s="496"/>
      <c r="W12" s="497"/>
      <c r="Y12" s="20"/>
      <c r="Z12" s="16"/>
      <c r="AA12" s="18"/>
      <c r="AH12" s="316"/>
      <c r="AI12" s="316"/>
      <c r="AJ12" s="316"/>
      <c r="AK12" s="316"/>
      <c r="AL12" s="316"/>
      <c r="AM12" s="127"/>
      <c r="AN12" s="126">
        <v>7</v>
      </c>
      <c r="AO12" s="278" t="s">
        <v>196</v>
      </c>
      <c r="AP12" s="278"/>
      <c r="AQ12" s="14"/>
      <c r="AR12" s="19"/>
      <c r="AS12" s="19"/>
      <c r="AV12" s="316"/>
      <c r="AW12" s="316"/>
      <c r="AX12" s="316"/>
      <c r="AY12" s="314"/>
      <c r="AZ12" s="314"/>
      <c r="BA12" s="314"/>
      <c r="BB12" s="314"/>
      <c r="BC12" s="314"/>
      <c r="BD12" s="314"/>
      <c r="BE12" s="314"/>
      <c r="BF12" s="314"/>
    </row>
    <row r="13" spans="2:58" ht="7.05" customHeight="1" x14ac:dyDescent="0.3"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Y13" s="20"/>
      <c r="Z13" s="16"/>
      <c r="AA13" s="18"/>
      <c r="AH13" s="316"/>
      <c r="AI13" s="316"/>
      <c r="AJ13" s="316"/>
      <c r="AK13" s="316"/>
      <c r="AL13" s="316"/>
      <c r="AM13" s="127"/>
      <c r="AN13" s="262"/>
      <c r="AO13" s="501"/>
      <c r="AP13" s="501"/>
      <c r="AQ13" s="19"/>
      <c r="AR13" s="19"/>
      <c r="AS13" s="19"/>
      <c r="AT13" s="19"/>
      <c r="AV13" s="316"/>
      <c r="AW13" s="316"/>
      <c r="AX13" s="316"/>
      <c r="AY13" s="314"/>
      <c r="AZ13" s="314"/>
      <c r="BA13" s="314"/>
      <c r="BB13" s="314"/>
      <c r="BC13" s="314"/>
      <c r="BD13" s="314"/>
      <c r="BE13" s="314"/>
      <c r="BF13" s="314"/>
    </row>
    <row r="14" spans="2:58" ht="20.100000000000001" customHeight="1" x14ac:dyDescent="0.3">
      <c r="B14" s="442" t="s">
        <v>22</v>
      </c>
      <c r="C14" s="443"/>
      <c r="D14" s="443"/>
      <c r="E14" s="444" t="str">
        <f ca="1">IF($Z$42=0,"",VLOOKUP(Z42,AN2:AP16,2,FALSE))</f>
        <v>Als Erstes: Name Landestrainer eingeben</v>
      </c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5"/>
      <c r="Y14" s="20"/>
      <c r="Z14" s="16"/>
      <c r="AA14" s="18"/>
      <c r="AH14" s="316"/>
      <c r="AI14" s="316"/>
      <c r="AJ14" s="316"/>
      <c r="AK14" s="316"/>
      <c r="AL14" s="316"/>
      <c r="AM14" s="127"/>
      <c r="AN14" s="126">
        <v>8</v>
      </c>
      <c r="AO14" s="501" t="s">
        <v>193</v>
      </c>
      <c r="AP14" s="501"/>
      <c r="AQ14" s="14"/>
      <c r="AR14" s="19"/>
      <c r="AS14" s="19"/>
      <c r="AT14" s="19"/>
      <c r="AV14" s="316"/>
      <c r="AW14" s="316"/>
      <c r="AX14" s="316"/>
      <c r="AY14" s="314"/>
      <c r="AZ14" s="314"/>
      <c r="BA14" s="314"/>
      <c r="BB14" s="314"/>
      <c r="BC14" s="314"/>
      <c r="BD14" s="314"/>
      <c r="BE14" s="314"/>
      <c r="BF14" s="314"/>
    </row>
    <row r="15" spans="2:58" ht="7.05" customHeight="1" x14ac:dyDescent="0.3"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Y15" s="20"/>
      <c r="Z15" s="16"/>
      <c r="AA15" s="18"/>
      <c r="AH15" s="316"/>
      <c r="AI15" s="316"/>
      <c r="AJ15" s="316"/>
      <c r="AK15" s="316"/>
      <c r="AL15" s="316"/>
      <c r="AM15" s="127"/>
      <c r="AN15" s="262"/>
      <c r="AO15" s="501"/>
      <c r="AP15" s="501"/>
      <c r="AQ15" s="19"/>
      <c r="AR15" s="19"/>
      <c r="AS15" s="19"/>
      <c r="AT15" s="19"/>
      <c r="AV15" s="316"/>
      <c r="AW15" s="316"/>
      <c r="AX15" s="316"/>
      <c r="AY15" s="314"/>
      <c r="AZ15" s="314"/>
      <c r="BA15" s="314"/>
      <c r="BB15" s="314"/>
      <c r="BC15" s="314"/>
      <c r="BD15" s="314"/>
      <c r="BE15" s="314"/>
      <c r="BF15" s="314"/>
    </row>
    <row r="16" spans="2:58" ht="15" customHeight="1" x14ac:dyDescent="0.3">
      <c r="B16" s="429"/>
      <c r="C16" s="430"/>
      <c r="D16" s="415" t="s">
        <v>37</v>
      </c>
      <c r="E16" s="416"/>
      <c r="F16" s="415" t="s">
        <v>38</v>
      </c>
      <c r="G16" s="416"/>
      <c r="H16" s="491"/>
      <c r="I16" s="416" t="s">
        <v>39</v>
      </c>
      <c r="J16" s="416"/>
      <c r="K16" s="416"/>
      <c r="L16" s="491"/>
      <c r="M16" s="415" t="s">
        <v>40</v>
      </c>
      <c r="N16" s="416"/>
      <c r="O16" s="491"/>
      <c r="P16" s="30" t="s">
        <v>41</v>
      </c>
      <c r="Q16" s="415"/>
      <c r="R16" s="416"/>
      <c r="S16" s="416"/>
      <c r="T16" s="429" t="s">
        <v>26</v>
      </c>
      <c r="U16" s="499"/>
      <c r="V16" s="499"/>
      <c r="W16" s="430"/>
      <c r="Y16" s="20"/>
      <c r="Z16" s="16"/>
      <c r="AA16" s="18"/>
      <c r="AH16" s="316"/>
      <c r="AI16" s="316"/>
      <c r="AJ16" s="316"/>
      <c r="AK16" s="316"/>
      <c r="AL16" s="316"/>
      <c r="AM16" s="127"/>
      <c r="AN16" s="265">
        <v>9</v>
      </c>
      <c r="AO16" s="501" t="s">
        <v>194</v>
      </c>
      <c r="AP16" s="501"/>
      <c r="AQ16" s="14"/>
      <c r="AR16" s="19"/>
      <c r="AS16" s="19"/>
      <c r="AT16" s="19"/>
      <c r="AV16" s="316"/>
      <c r="AW16" s="316"/>
      <c r="AX16" s="316"/>
      <c r="AY16" s="314"/>
      <c r="AZ16" s="314"/>
      <c r="BA16" s="314"/>
      <c r="BB16" s="314"/>
      <c r="BC16" s="314"/>
      <c r="BD16" s="314"/>
      <c r="BE16" s="314"/>
      <c r="BF16" s="314"/>
    </row>
    <row r="17" spans="1:71" s="13" customFormat="1" ht="15" customHeight="1" x14ac:dyDescent="0.3">
      <c r="A17" s="25"/>
      <c r="B17" s="413" t="s">
        <v>6</v>
      </c>
      <c r="C17" s="414"/>
      <c r="D17" s="37" t="s">
        <v>16</v>
      </c>
      <c r="E17" s="38" t="s">
        <v>17</v>
      </c>
      <c r="F17" s="269" t="s">
        <v>42</v>
      </c>
      <c r="G17" s="39" t="s">
        <v>43</v>
      </c>
      <c r="H17" s="40" t="s">
        <v>10</v>
      </c>
      <c r="I17" s="498" t="s">
        <v>44</v>
      </c>
      <c r="J17" s="498"/>
      <c r="K17" s="493"/>
      <c r="L17" s="40" t="s">
        <v>45</v>
      </c>
      <c r="M17" s="492" t="s">
        <v>47</v>
      </c>
      <c r="N17" s="493"/>
      <c r="O17" s="41" t="s">
        <v>10</v>
      </c>
      <c r="P17" s="42" t="s">
        <v>10</v>
      </c>
      <c r="Q17" s="458" t="s">
        <v>46</v>
      </c>
      <c r="R17" s="459"/>
      <c r="S17" s="459"/>
      <c r="T17" s="461" t="s">
        <v>47</v>
      </c>
      <c r="U17" s="462"/>
      <c r="V17" s="454" t="s">
        <v>48</v>
      </c>
      <c r="W17" s="455"/>
      <c r="Y17" s="20"/>
      <c r="Z17" s="29"/>
      <c r="AA17" s="43"/>
      <c r="AB17" s="44"/>
      <c r="AC17" s="44"/>
      <c r="AD17" s="44"/>
      <c r="AE17" s="44"/>
      <c r="AH17" s="316"/>
      <c r="AI17" s="316"/>
      <c r="AJ17" s="316"/>
      <c r="AK17" s="316"/>
      <c r="AL17" s="316"/>
      <c r="AM17" s="127"/>
      <c r="AN17" s="260"/>
      <c r="AQ17" s="14"/>
      <c r="AR17" s="19"/>
      <c r="AS17" s="19"/>
      <c r="AT17" s="14"/>
      <c r="AU17" s="19"/>
      <c r="AV17" s="316"/>
      <c r="AW17" s="316"/>
      <c r="AX17" s="316"/>
      <c r="AY17" s="314"/>
      <c r="AZ17" s="314"/>
      <c r="BA17" s="314"/>
      <c r="BB17" s="314"/>
      <c r="BC17" s="314"/>
      <c r="BD17" s="314"/>
      <c r="BE17" s="314"/>
      <c r="BF17" s="314"/>
      <c r="BG17" s="19"/>
      <c r="BH17" s="14"/>
      <c r="BI17" s="14"/>
      <c r="BJ17" s="19"/>
      <c r="BK17" s="19"/>
      <c r="BL17" s="19"/>
      <c r="BM17" s="19"/>
      <c r="BN17" s="19"/>
      <c r="BO17" s="19"/>
      <c r="BP17" s="19"/>
      <c r="BQ17" s="19"/>
    </row>
    <row r="18" spans="1:71" s="13" customFormat="1" ht="15" customHeight="1" x14ac:dyDescent="0.3">
      <c r="A18" s="25"/>
      <c r="B18" s="427"/>
      <c r="C18" s="428"/>
      <c r="D18" s="45" t="s">
        <v>19</v>
      </c>
      <c r="E18" s="168" t="s">
        <v>19</v>
      </c>
      <c r="F18" s="46" t="s">
        <v>49</v>
      </c>
      <c r="G18" s="167" t="s">
        <v>50</v>
      </c>
      <c r="H18" s="47" t="s">
        <v>50</v>
      </c>
      <c r="I18" s="150" t="s">
        <v>51</v>
      </c>
      <c r="J18" s="431" t="s">
        <v>50</v>
      </c>
      <c r="K18" s="432"/>
      <c r="L18" s="48" t="s">
        <v>50</v>
      </c>
      <c r="M18" s="494"/>
      <c r="N18" s="495"/>
      <c r="O18" s="49" t="s">
        <v>50</v>
      </c>
      <c r="P18" s="50" t="s">
        <v>50</v>
      </c>
      <c r="Q18" s="460"/>
      <c r="R18" s="431"/>
      <c r="S18" s="431"/>
      <c r="T18" s="463"/>
      <c r="U18" s="464"/>
      <c r="V18" s="456"/>
      <c r="W18" s="457"/>
      <c r="Y18" s="20"/>
      <c r="Z18" s="18">
        <v>4</v>
      </c>
      <c r="AA18" s="18">
        <v>5</v>
      </c>
      <c r="AB18" s="18">
        <v>6</v>
      </c>
      <c r="AC18" s="18">
        <v>7</v>
      </c>
      <c r="AD18" s="18">
        <v>8</v>
      </c>
      <c r="AE18" s="18">
        <v>9</v>
      </c>
      <c r="AG18" s="19"/>
      <c r="AH18" s="316"/>
      <c r="AI18" s="316"/>
      <c r="AJ18" s="316"/>
      <c r="AK18" s="316"/>
      <c r="AL18" s="316"/>
      <c r="AM18" s="127"/>
      <c r="AQ18" s="25"/>
      <c r="AR18" s="126" t="s">
        <v>142</v>
      </c>
      <c r="AS18" s="126"/>
      <c r="AT18" s="125" t="s">
        <v>140</v>
      </c>
      <c r="AU18" s="133" t="s">
        <v>141</v>
      </c>
      <c r="AV18" s="125">
        <f>$AI$71</f>
        <v>2560</v>
      </c>
      <c r="AW18" s="125">
        <f>$AI$72</f>
        <v>2562</v>
      </c>
      <c r="AX18" s="125">
        <f>$AI$73</f>
        <v>2569</v>
      </c>
      <c r="AY18" s="125">
        <f>$AI$61</f>
        <v>2566</v>
      </c>
      <c r="AZ18" s="125">
        <f>$AI$62</f>
        <v>2567</v>
      </c>
      <c r="BA18" s="125">
        <f>$AI$63</f>
        <v>2568</v>
      </c>
      <c r="BB18" s="125">
        <f>$AI$64</f>
        <v>2570</v>
      </c>
      <c r="BC18" s="125">
        <f>$AI$65</f>
        <v>2661</v>
      </c>
      <c r="BD18" s="125">
        <f>$AI$66</f>
        <v>2704</v>
      </c>
      <c r="BE18" s="125">
        <f>$AI$67</f>
        <v>2802</v>
      </c>
      <c r="BF18" s="125">
        <f>$AI$68</f>
        <v>2810</v>
      </c>
      <c r="BG18" s="19"/>
      <c r="BH18" s="172" t="s">
        <v>142</v>
      </c>
      <c r="BI18" s="126" t="s">
        <v>164</v>
      </c>
      <c r="BJ18" s="19"/>
      <c r="BK18" s="19"/>
      <c r="BL18" s="19"/>
      <c r="BM18" s="19"/>
      <c r="BN18" s="19"/>
      <c r="BO18" s="19"/>
      <c r="BP18" s="19"/>
      <c r="BQ18" s="14"/>
      <c r="BR18" s="19"/>
      <c r="BS18" s="19"/>
    </row>
    <row r="19" spans="1:71" ht="20.100000000000001" customHeight="1" x14ac:dyDescent="0.3">
      <c r="B19" s="399"/>
      <c r="C19" s="400"/>
      <c r="D19" s="200"/>
      <c r="E19" s="201"/>
      <c r="F19" s="247" t="s">
        <v>49</v>
      </c>
      <c r="G19" s="248"/>
      <c r="H19" s="250">
        <f t="shared" ref="H19:H41" si="2">IF(AH19=0,"",AL19)</f>
        <v>0</v>
      </c>
      <c r="I19" s="203"/>
      <c r="J19" s="449">
        <f t="shared" ref="J19:J41" si="3">IF(AH19=0,"",I19*$H$70)</f>
        <v>0</v>
      </c>
      <c r="K19" s="450"/>
      <c r="L19" s="202"/>
      <c r="M19" s="322"/>
      <c r="N19" s="323"/>
      <c r="O19" s="202"/>
      <c r="P19" s="207">
        <f t="shared" ref="P19:P41" si="4">IF(AH19=0,"",SUM(H19,J19,L19,O19))</f>
        <v>0</v>
      </c>
      <c r="Q19" s="402"/>
      <c r="R19" s="403"/>
      <c r="S19" s="403"/>
      <c r="T19" s="370"/>
      <c r="U19" s="371"/>
      <c r="V19" s="401" t="str">
        <f>AT19</f>
        <v/>
      </c>
      <c r="W19" s="319"/>
      <c r="Y19" s="14"/>
      <c r="Z19" s="21">
        <f ca="1">IF(AH19=0,"",IF(ISERROR(B19-1),4,IF(OR(YEAR(B19)-YEAR(TODAY())&gt;1,(YEAR(B19)-YEAR(TODAY())&lt;-3)),4,"")))</f>
        <v>4</v>
      </c>
      <c r="AA19" s="21">
        <f>IF($AH19=0,"",IF(OR(D19&gt;1,D19=""),5,""))</f>
        <v>5</v>
      </c>
      <c r="AB19" s="21">
        <f>IF($AH19=0,"",IF(OR(E19&gt;1,E19="",D19&gt;E19),6,""))</f>
        <v>6</v>
      </c>
      <c r="AC19" s="21" t="str">
        <f>IF(OR(AH19=0,AND(M19="",O19=""),AND(NOT(M19=""),(NOT(O19="")))),"",7)</f>
        <v/>
      </c>
      <c r="AD19" s="21">
        <f>IF(OR($AH19=0,NOT(Q19="")),"",8)</f>
        <v>8</v>
      </c>
      <c r="AE19" s="21">
        <f>IF(OR($AH19=0,NOT(T19="")),"",9)</f>
        <v>9</v>
      </c>
      <c r="AH19" s="16">
        <f t="shared" ref="AH19:AH24" si="5">COUNTA(B19:G19,I19,L19,M19:O19,Q19:T19)</f>
        <v>1</v>
      </c>
      <c r="AI19" s="51">
        <f>IF(AB19=6,0,E19-D19)</f>
        <v>0</v>
      </c>
      <c r="AJ19" s="28">
        <f t="shared" ref="AJ19:AJ41" si="6">IF(F19="No",0,IF(AI19&gt;=$AI$47,$AJ$47,IF(AI19&gt;=$AI$46,$AJ$46,IF(AI19&gt;=$AI$45,$AJ$45,0))))</f>
        <v>0</v>
      </c>
      <c r="AK19" s="109">
        <f t="shared" ref="AK19:AK41" si="7">IF(G19="-",0,G19)</f>
        <v>0</v>
      </c>
      <c r="AL19" s="110">
        <f>IF(AK19&gt;AJ19,0,AJ19-AK19)</f>
        <v>0</v>
      </c>
      <c r="AM19" s="261"/>
      <c r="AN19" s="261"/>
      <c r="AR19" s="16" t="str">
        <f t="shared" ref="AR19:AR41" si="8">IF(AT19="","",RANK(AT19,AT$19:AT$41,1))</f>
        <v/>
      </c>
      <c r="AS19" s="16"/>
      <c r="AT19" s="16" t="str">
        <f t="shared" ref="AT19:AT41" si="9">IF(AU19=0,"",VLOOKUP(AU19,AI$78:AL$109,4,FALSE))</f>
        <v/>
      </c>
      <c r="AU19" s="29">
        <f t="shared" ref="AU19:AU41" si="10">T19</f>
        <v>0</v>
      </c>
      <c r="AV19" s="28">
        <f t="shared" ref="AV19:AV41" si="11">L19</f>
        <v>0</v>
      </c>
      <c r="AW19" s="28">
        <f t="shared" ref="AW19:AW41" si="12">J19</f>
        <v>0</v>
      </c>
      <c r="AX19" s="174">
        <f t="shared" ref="AX19:AX41" si="13">H19</f>
        <v>0</v>
      </c>
      <c r="AY19" s="173">
        <f>IF(AY$10=$M19,$O19,0)</f>
        <v>0</v>
      </c>
      <c r="AZ19" s="109">
        <f t="shared" ref="AY19:BF34" si="14">IF(AZ$10=$M19,$O19,0)</f>
        <v>0</v>
      </c>
      <c r="BA19" s="109">
        <f t="shared" si="14"/>
        <v>0</v>
      </c>
      <c r="BB19" s="109">
        <f t="shared" si="14"/>
        <v>0</v>
      </c>
      <c r="BC19" s="109">
        <f t="shared" si="14"/>
        <v>0</v>
      </c>
      <c r="BD19" s="109">
        <f t="shared" si="14"/>
        <v>0</v>
      </c>
      <c r="BE19" s="109">
        <f t="shared" si="14"/>
        <v>0</v>
      </c>
      <c r="BF19" s="109">
        <f t="shared" si="14"/>
        <v>0</v>
      </c>
      <c r="BH19" s="16" t="str">
        <f>AR19</f>
        <v/>
      </c>
      <c r="BI19" s="16">
        <f t="shared" ref="BI19:BI24" si="15">IF(BH19="",0,COUNTIF(BH$19:BH$41,BH19))</f>
        <v>0</v>
      </c>
      <c r="BQ19" s="14"/>
      <c r="BR19" s="19"/>
      <c r="BS19" s="19"/>
    </row>
    <row r="20" spans="1:71" ht="20.100000000000001" customHeight="1" x14ac:dyDescent="0.3">
      <c r="B20" s="399"/>
      <c r="C20" s="400"/>
      <c r="D20" s="200"/>
      <c r="E20" s="201"/>
      <c r="F20" s="247" t="s">
        <v>49</v>
      </c>
      <c r="G20" s="248"/>
      <c r="H20" s="250">
        <f t="shared" si="2"/>
        <v>0</v>
      </c>
      <c r="I20" s="203"/>
      <c r="J20" s="449">
        <f t="shared" si="3"/>
        <v>0</v>
      </c>
      <c r="K20" s="450"/>
      <c r="L20" s="202"/>
      <c r="M20" s="322"/>
      <c r="N20" s="323"/>
      <c r="O20" s="202"/>
      <c r="P20" s="207">
        <f t="shared" si="4"/>
        <v>0</v>
      </c>
      <c r="Q20" s="402"/>
      <c r="R20" s="403"/>
      <c r="S20" s="403"/>
      <c r="T20" s="370"/>
      <c r="U20" s="371"/>
      <c r="V20" s="401" t="str">
        <f>AT20</f>
        <v/>
      </c>
      <c r="W20" s="319"/>
      <c r="Y20" s="14"/>
      <c r="Z20" s="21">
        <f t="shared" ref="Z20:Z41" ca="1" si="16">IF(AH20=0,"",IF(ISERROR(B20-1),4,IF(OR(YEAR(B20)-YEAR(TODAY())&gt;1,(YEAR(B20)-YEAR(TODAY())&lt;-3)),4,"")))</f>
        <v>4</v>
      </c>
      <c r="AA20" s="21">
        <f t="shared" ref="AA20:AA41" si="17">IF($AH20=0,"",IF(OR(D20&gt;1,D20=""),5,""))</f>
        <v>5</v>
      </c>
      <c r="AB20" s="21">
        <f t="shared" ref="AB20:AB41" si="18">IF($AH20=0,"",IF(OR(E20&gt;1,E20="",D20&gt;E20),6,""))</f>
        <v>6</v>
      </c>
      <c r="AC20" s="21" t="str">
        <f t="shared" ref="AC20:AC41" si="19">IF(OR(AH20=0,AND(M20="",O20=""),AND(NOT(M20=""),(NOT(O20="")))),"",7)</f>
        <v/>
      </c>
      <c r="AD20" s="21">
        <f t="shared" ref="AD20:AD41" si="20">IF(OR($AH20=0,NOT(Q20="")),"",8)</f>
        <v>8</v>
      </c>
      <c r="AE20" s="21">
        <f t="shared" ref="AE20:AE41" si="21">IF(OR($AH20=0,NOT(T20="")),"",9)</f>
        <v>9</v>
      </c>
      <c r="AH20" s="16">
        <f t="shared" si="5"/>
        <v>1</v>
      </c>
      <c r="AI20" s="51">
        <f t="shared" ref="AI20:AI41" si="22">IF(AB20=6,0,E20-D20)</f>
        <v>0</v>
      </c>
      <c r="AJ20" s="28">
        <f t="shared" si="6"/>
        <v>0</v>
      </c>
      <c r="AK20" s="109">
        <f t="shared" si="7"/>
        <v>0</v>
      </c>
      <c r="AL20" s="110">
        <f t="shared" ref="AL20:AL41" si="23">IF(AK20&gt;AJ20,0,AJ20-AK20)</f>
        <v>0</v>
      </c>
      <c r="AM20" s="261"/>
      <c r="AN20" s="261"/>
      <c r="AR20" s="16" t="str">
        <f t="shared" si="8"/>
        <v/>
      </c>
      <c r="AS20" s="16"/>
      <c r="AT20" s="16" t="str">
        <f t="shared" si="9"/>
        <v/>
      </c>
      <c r="AU20" s="29">
        <f t="shared" si="10"/>
        <v>0</v>
      </c>
      <c r="AV20" s="28">
        <f t="shared" si="11"/>
        <v>0</v>
      </c>
      <c r="AW20" s="28">
        <f t="shared" si="12"/>
        <v>0</v>
      </c>
      <c r="AX20" s="174">
        <f t="shared" si="13"/>
        <v>0</v>
      </c>
      <c r="AY20" s="173">
        <f t="shared" si="14"/>
        <v>0</v>
      </c>
      <c r="AZ20" s="109">
        <f t="shared" si="14"/>
        <v>0</v>
      </c>
      <c r="BA20" s="109">
        <f t="shared" si="14"/>
        <v>0</v>
      </c>
      <c r="BB20" s="109">
        <f t="shared" si="14"/>
        <v>0</v>
      </c>
      <c r="BC20" s="109">
        <f t="shared" si="14"/>
        <v>0</v>
      </c>
      <c r="BD20" s="109">
        <f t="shared" si="14"/>
        <v>0</v>
      </c>
      <c r="BE20" s="109">
        <f t="shared" si="14"/>
        <v>0</v>
      </c>
      <c r="BF20" s="109">
        <f t="shared" si="14"/>
        <v>0</v>
      </c>
      <c r="BH20" s="16" t="str">
        <f t="shared" ref="BH20:BH41" si="24">AR20</f>
        <v/>
      </c>
      <c r="BI20" s="16">
        <f t="shared" si="15"/>
        <v>0</v>
      </c>
      <c r="BQ20" s="14"/>
      <c r="BR20" s="19"/>
      <c r="BS20" s="19"/>
    </row>
    <row r="21" spans="1:71" ht="20.100000000000001" customHeight="1" x14ac:dyDescent="0.3">
      <c r="B21" s="399"/>
      <c r="C21" s="400"/>
      <c r="D21" s="200"/>
      <c r="E21" s="201"/>
      <c r="F21" s="247" t="s">
        <v>49</v>
      </c>
      <c r="G21" s="248"/>
      <c r="H21" s="250">
        <f t="shared" si="2"/>
        <v>0</v>
      </c>
      <c r="I21" s="203"/>
      <c r="J21" s="449">
        <f t="shared" si="3"/>
        <v>0</v>
      </c>
      <c r="K21" s="450"/>
      <c r="L21" s="202"/>
      <c r="M21" s="322"/>
      <c r="N21" s="323"/>
      <c r="O21" s="202"/>
      <c r="P21" s="207">
        <f t="shared" si="4"/>
        <v>0</v>
      </c>
      <c r="Q21" s="402"/>
      <c r="R21" s="403"/>
      <c r="S21" s="403"/>
      <c r="T21" s="370"/>
      <c r="U21" s="371"/>
      <c r="V21" s="401" t="str">
        <f>AT21</f>
        <v/>
      </c>
      <c r="W21" s="319"/>
      <c r="Y21" s="14"/>
      <c r="Z21" s="21">
        <f t="shared" ca="1" si="16"/>
        <v>4</v>
      </c>
      <c r="AA21" s="21">
        <f t="shared" si="17"/>
        <v>5</v>
      </c>
      <c r="AB21" s="21">
        <f t="shared" si="18"/>
        <v>6</v>
      </c>
      <c r="AC21" s="21" t="str">
        <f t="shared" si="19"/>
        <v/>
      </c>
      <c r="AD21" s="21">
        <f t="shared" si="20"/>
        <v>8</v>
      </c>
      <c r="AE21" s="21">
        <f t="shared" si="21"/>
        <v>9</v>
      </c>
      <c r="AH21" s="16">
        <f t="shared" si="5"/>
        <v>1</v>
      </c>
      <c r="AI21" s="51">
        <f t="shared" si="22"/>
        <v>0</v>
      </c>
      <c r="AJ21" s="28">
        <f t="shared" si="6"/>
        <v>0</v>
      </c>
      <c r="AK21" s="109">
        <f t="shared" si="7"/>
        <v>0</v>
      </c>
      <c r="AL21" s="110">
        <f t="shared" si="23"/>
        <v>0</v>
      </c>
      <c r="AM21" s="261"/>
      <c r="AN21" s="261"/>
      <c r="AR21" s="16" t="str">
        <f t="shared" si="8"/>
        <v/>
      </c>
      <c r="AS21" s="16"/>
      <c r="AT21" s="16" t="str">
        <f t="shared" si="9"/>
        <v/>
      </c>
      <c r="AU21" s="29">
        <f t="shared" si="10"/>
        <v>0</v>
      </c>
      <c r="AV21" s="28">
        <f t="shared" si="11"/>
        <v>0</v>
      </c>
      <c r="AW21" s="28">
        <f t="shared" si="12"/>
        <v>0</v>
      </c>
      <c r="AX21" s="174">
        <f t="shared" si="13"/>
        <v>0</v>
      </c>
      <c r="AY21" s="173">
        <f t="shared" si="14"/>
        <v>0</v>
      </c>
      <c r="AZ21" s="109">
        <f t="shared" si="14"/>
        <v>0</v>
      </c>
      <c r="BA21" s="109">
        <f t="shared" si="14"/>
        <v>0</v>
      </c>
      <c r="BB21" s="109">
        <f t="shared" si="14"/>
        <v>0</v>
      </c>
      <c r="BC21" s="109">
        <f t="shared" si="14"/>
        <v>0</v>
      </c>
      <c r="BD21" s="109">
        <f t="shared" si="14"/>
        <v>0</v>
      </c>
      <c r="BE21" s="109">
        <f t="shared" si="14"/>
        <v>0</v>
      </c>
      <c r="BF21" s="109">
        <f t="shared" si="14"/>
        <v>0</v>
      </c>
      <c r="BH21" s="16" t="str">
        <f t="shared" si="24"/>
        <v/>
      </c>
      <c r="BI21" s="16">
        <f t="shared" si="15"/>
        <v>0</v>
      </c>
      <c r="BQ21" s="14"/>
      <c r="BR21" s="19"/>
      <c r="BS21" s="19"/>
    </row>
    <row r="22" spans="1:71" ht="20.100000000000001" customHeight="1" x14ac:dyDescent="0.3">
      <c r="B22" s="399"/>
      <c r="C22" s="400"/>
      <c r="D22" s="200"/>
      <c r="E22" s="201"/>
      <c r="F22" s="247" t="s">
        <v>49</v>
      </c>
      <c r="G22" s="248"/>
      <c r="H22" s="250">
        <f t="shared" si="2"/>
        <v>0</v>
      </c>
      <c r="I22" s="203"/>
      <c r="J22" s="449">
        <f t="shared" si="3"/>
        <v>0</v>
      </c>
      <c r="K22" s="450"/>
      <c r="L22" s="202"/>
      <c r="M22" s="322"/>
      <c r="N22" s="323"/>
      <c r="O22" s="202"/>
      <c r="P22" s="207">
        <f t="shared" si="4"/>
        <v>0</v>
      </c>
      <c r="Q22" s="402"/>
      <c r="R22" s="403"/>
      <c r="S22" s="403"/>
      <c r="T22" s="370"/>
      <c r="U22" s="371"/>
      <c r="V22" s="401" t="str">
        <f t="shared" ref="V22:V27" si="25">AT22</f>
        <v/>
      </c>
      <c r="W22" s="319"/>
      <c r="Y22" s="14"/>
      <c r="Z22" s="21">
        <f t="shared" ca="1" si="16"/>
        <v>4</v>
      </c>
      <c r="AA22" s="21">
        <f t="shared" si="17"/>
        <v>5</v>
      </c>
      <c r="AB22" s="21">
        <f t="shared" si="18"/>
        <v>6</v>
      </c>
      <c r="AC22" s="21" t="str">
        <f t="shared" si="19"/>
        <v/>
      </c>
      <c r="AD22" s="21">
        <f t="shared" si="20"/>
        <v>8</v>
      </c>
      <c r="AE22" s="21">
        <f t="shared" si="21"/>
        <v>9</v>
      </c>
      <c r="AH22" s="16">
        <f t="shared" si="5"/>
        <v>1</v>
      </c>
      <c r="AI22" s="51">
        <f t="shared" si="22"/>
        <v>0</v>
      </c>
      <c r="AJ22" s="28">
        <f t="shared" si="6"/>
        <v>0</v>
      </c>
      <c r="AK22" s="109">
        <f t="shared" si="7"/>
        <v>0</v>
      </c>
      <c r="AL22" s="110">
        <f t="shared" si="23"/>
        <v>0</v>
      </c>
      <c r="AM22" s="261"/>
      <c r="AN22" s="261"/>
      <c r="AR22" s="16" t="str">
        <f t="shared" si="8"/>
        <v/>
      </c>
      <c r="AS22" s="16"/>
      <c r="AT22" s="16" t="str">
        <f t="shared" si="9"/>
        <v/>
      </c>
      <c r="AU22" s="29">
        <f t="shared" si="10"/>
        <v>0</v>
      </c>
      <c r="AV22" s="28">
        <f t="shared" si="11"/>
        <v>0</v>
      </c>
      <c r="AW22" s="28">
        <f t="shared" si="12"/>
        <v>0</v>
      </c>
      <c r="AX22" s="174">
        <f t="shared" si="13"/>
        <v>0</v>
      </c>
      <c r="AY22" s="173">
        <f t="shared" si="14"/>
        <v>0</v>
      </c>
      <c r="AZ22" s="109">
        <f t="shared" si="14"/>
        <v>0</v>
      </c>
      <c r="BA22" s="109">
        <f t="shared" si="14"/>
        <v>0</v>
      </c>
      <c r="BB22" s="109">
        <f t="shared" si="14"/>
        <v>0</v>
      </c>
      <c r="BC22" s="109">
        <f t="shared" si="14"/>
        <v>0</v>
      </c>
      <c r="BD22" s="109">
        <f t="shared" si="14"/>
        <v>0</v>
      </c>
      <c r="BE22" s="109">
        <f t="shared" si="14"/>
        <v>0</v>
      </c>
      <c r="BF22" s="109">
        <f t="shared" si="14"/>
        <v>0</v>
      </c>
      <c r="BH22" s="16" t="str">
        <f t="shared" si="24"/>
        <v/>
      </c>
      <c r="BI22" s="16">
        <f t="shared" si="15"/>
        <v>0</v>
      </c>
      <c r="BQ22" s="14"/>
      <c r="BR22" s="19"/>
      <c r="BS22" s="19"/>
    </row>
    <row r="23" spans="1:71" ht="20.100000000000001" customHeight="1" x14ac:dyDescent="0.3">
      <c r="B23" s="399"/>
      <c r="C23" s="400"/>
      <c r="D23" s="200"/>
      <c r="E23" s="201"/>
      <c r="F23" s="247" t="s">
        <v>49</v>
      </c>
      <c r="G23" s="248"/>
      <c r="H23" s="250">
        <f t="shared" si="2"/>
        <v>0</v>
      </c>
      <c r="I23" s="203"/>
      <c r="J23" s="449">
        <f t="shared" si="3"/>
        <v>0</v>
      </c>
      <c r="K23" s="450"/>
      <c r="L23" s="202"/>
      <c r="M23" s="322"/>
      <c r="N23" s="323"/>
      <c r="O23" s="202"/>
      <c r="P23" s="207">
        <f t="shared" si="4"/>
        <v>0</v>
      </c>
      <c r="Q23" s="402"/>
      <c r="R23" s="403"/>
      <c r="S23" s="403"/>
      <c r="T23" s="370"/>
      <c r="U23" s="371"/>
      <c r="V23" s="401" t="str">
        <f t="shared" si="25"/>
        <v/>
      </c>
      <c r="W23" s="319"/>
      <c r="Y23" s="14"/>
      <c r="Z23" s="21">
        <f t="shared" ca="1" si="16"/>
        <v>4</v>
      </c>
      <c r="AA23" s="21">
        <f t="shared" si="17"/>
        <v>5</v>
      </c>
      <c r="AB23" s="21">
        <f t="shared" si="18"/>
        <v>6</v>
      </c>
      <c r="AC23" s="21" t="str">
        <f t="shared" si="19"/>
        <v/>
      </c>
      <c r="AD23" s="21">
        <f t="shared" si="20"/>
        <v>8</v>
      </c>
      <c r="AE23" s="21">
        <f t="shared" si="21"/>
        <v>9</v>
      </c>
      <c r="AH23" s="16">
        <f t="shared" si="5"/>
        <v>1</v>
      </c>
      <c r="AI23" s="51">
        <f t="shared" si="22"/>
        <v>0</v>
      </c>
      <c r="AJ23" s="28">
        <f t="shared" si="6"/>
        <v>0</v>
      </c>
      <c r="AK23" s="109">
        <f t="shared" si="7"/>
        <v>0</v>
      </c>
      <c r="AL23" s="110">
        <f t="shared" si="23"/>
        <v>0</v>
      </c>
      <c r="AM23" s="261"/>
      <c r="AN23" s="261"/>
      <c r="AR23" s="16" t="str">
        <f t="shared" si="8"/>
        <v/>
      </c>
      <c r="AS23" s="16"/>
      <c r="AT23" s="16" t="str">
        <f t="shared" si="9"/>
        <v/>
      </c>
      <c r="AU23" s="29">
        <f t="shared" si="10"/>
        <v>0</v>
      </c>
      <c r="AV23" s="28">
        <f t="shared" si="11"/>
        <v>0</v>
      </c>
      <c r="AW23" s="28">
        <f t="shared" si="12"/>
        <v>0</v>
      </c>
      <c r="AX23" s="174">
        <f t="shared" si="13"/>
        <v>0</v>
      </c>
      <c r="AY23" s="173">
        <f t="shared" si="14"/>
        <v>0</v>
      </c>
      <c r="AZ23" s="109">
        <f t="shared" si="14"/>
        <v>0</v>
      </c>
      <c r="BA23" s="109">
        <f t="shared" si="14"/>
        <v>0</v>
      </c>
      <c r="BB23" s="109">
        <f t="shared" si="14"/>
        <v>0</v>
      </c>
      <c r="BC23" s="109">
        <f t="shared" si="14"/>
        <v>0</v>
      </c>
      <c r="BD23" s="109">
        <f t="shared" si="14"/>
        <v>0</v>
      </c>
      <c r="BE23" s="109">
        <f t="shared" si="14"/>
        <v>0</v>
      </c>
      <c r="BF23" s="109">
        <f t="shared" si="14"/>
        <v>0</v>
      </c>
      <c r="BH23" s="16" t="str">
        <f t="shared" si="24"/>
        <v/>
      </c>
      <c r="BI23" s="16">
        <f t="shared" si="15"/>
        <v>0</v>
      </c>
      <c r="BQ23" s="14"/>
      <c r="BR23" s="19"/>
      <c r="BS23" s="19"/>
    </row>
    <row r="24" spans="1:71" ht="20.100000000000001" customHeight="1" x14ac:dyDescent="0.3">
      <c r="B24" s="399"/>
      <c r="C24" s="400"/>
      <c r="D24" s="200"/>
      <c r="E24" s="201"/>
      <c r="F24" s="247" t="s">
        <v>49</v>
      </c>
      <c r="G24" s="248"/>
      <c r="H24" s="250">
        <f t="shared" si="2"/>
        <v>0</v>
      </c>
      <c r="I24" s="203"/>
      <c r="J24" s="449">
        <f t="shared" si="3"/>
        <v>0</v>
      </c>
      <c r="K24" s="450"/>
      <c r="L24" s="202"/>
      <c r="M24" s="322"/>
      <c r="N24" s="323"/>
      <c r="O24" s="202"/>
      <c r="P24" s="207">
        <f t="shared" si="4"/>
        <v>0</v>
      </c>
      <c r="Q24" s="402"/>
      <c r="R24" s="403"/>
      <c r="S24" s="403"/>
      <c r="T24" s="370"/>
      <c r="U24" s="371"/>
      <c r="V24" s="401" t="str">
        <f t="shared" si="25"/>
        <v/>
      </c>
      <c r="W24" s="319"/>
      <c r="Y24" s="14"/>
      <c r="Z24" s="21">
        <f t="shared" ca="1" si="16"/>
        <v>4</v>
      </c>
      <c r="AA24" s="21">
        <f t="shared" si="17"/>
        <v>5</v>
      </c>
      <c r="AB24" s="21">
        <f t="shared" si="18"/>
        <v>6</v>
      </c>
      <c r="AC24" s="21" t="str">
        <f t="shared" si="19"/>
        <v/>
      </c>
      <c r="AD24" s="21">
        <f t="shared" si="20"/>
        <v>8</v>
      </c>
      <c r="AE24" s="21">
        <f t="shared" si="21"/>
        <v>9</v>
      </c>
      <c r="AH24" s="16">
        <f t="shared" si="5"/>
        <v>1</v>
      </c>
      <c r="AI24" s="51">
        <f t="shared" si="22"/>
        <v>0</v>
      </c>
      <c r="AJ24" s="28">
        <f t="shared" si="6"/>
        <v>0</v>
      </c>
      <c r="AK24" s="109">
        <f t="shared" si="7"/>
        <v>0</v>
      </c>
      <c r="AL24" s="110">
        <f t="shared" si="23"/>
        <v>0</v>
      </c>
      <c r="AM24" s="261"/>
      <c r="AN24" s="261"/>
      <c r="AR24" s="16" t="str">
        <f t="shared" si="8"/>
        <v/>
      </c>
      <c r="AS24" s="16"/>
      <c r="AT24" s="16" t="str">
        <f t="shared" si="9"/>
        <v/>
      </c>
      <c r="AU24" s="29">
        <f t="shared" si="10"/>
        <v>0</v>
      </c>
      <c r="AV24" s="28">
        <f t="shared" si="11"/>
        <v>0</v>
      </c>
      <c r="AW24" s="28">
        <f t="shared" si="12"/>
        <v>0</v>
      </c>
      <c r="AX24" s="174">
        <f t="shared" si="13"/>
        <v>0</v>
      </c>
      <c r="AY24" s="173">
        <f t="shared" si="14"/>
        <v>0</v>
      </c>
      <c r="AZ24" s="109">
        <f t="shared" si="14"/>
        <v>0</v>
      </c>
      <c r="BA24" s="109">
        <f t="shared" si="14"/>
        <v>0</v>
      </c>
      <c r="BB24" s="109">
        <f t="shared" si="14"/>
        <v>0</v>
      </c>
      <c r="BC24" s="109">
        <f t="shared" si="14"/>
        <v>0</v>
      </c>
      <c r="BD24" s="109">
        <f t="shared" si="14"/>
        <v>0</v>
      </c>
      <c r="BE24" s="109">
        <f t="shared" si="14"/>
        <v>0</v>
      </c>
      <c r="BF24" s="109">
        <f t="shared" si="14"/>
        <v>0</v>
      </c>
      <c r="BH24" s="16" t="str">
        <f t="shared" si="24"/>
        <v/>
      </c>
      <c r="BI24" s="16">
        <f t="shared" si="15"/>
        <v>0</v>
      </c>
      <c r="BQ24" s="14"/>
      <c r="BR24" s="19"/>
      <c r="BS24" s="19"/>
    </row>
    <row r="25" spans="1:71" ht="20.100000000000001" customHeight="1" x14ac:dyDescent="0.3">
      <c r="B25" s="399"/>
      <c r="C25" s="400"/>
      <c r="D25" s="200"/>
      <c r="E25" s="201"/>
      <c r="F25" s="247" t="s">
        <v>49</v>
      </c>
      <c r="G25" s="248"/>
      <c r="H25" s="250">
        <f t="shared" si="2"/>
        <v>0</v>
      </c>
      <c r="I25" s="203"/>
      <c r="J25" s="449">
        <f t="shared" si="3"/>
        <v>0</v>
      </c>
      <c r="K25" s="450"/>
      <c r="L25" s="202"/>
      <c r="M25" s="322"/>
      <c r="N25" s="323"/>
      <c r="O25" s="202"/>
      <c r="P25" s="207">
        <f t="shared" si="4"/>
        <v>0</v>
      </c>
      <c r="Q25" s="402"/>
      <c r="R25" s="403"/>
      <c r="S25" s="403"/>
      <c r="T25" s="370"/>
      <c r="U25" s="371"/>
      <c r="V25" s="284" t="str">
        <f t="shared" si="25"/>
        <v/>
      </c>
      <c r="W25" s="319"/>
      <c r="Y25" s="14"/>
      <c r="Z25" s="21">
        <f t="shared" ca="1" si="16"/>
        <v>4</v>
      </c>
      <c r="AA25" s="21">
        <f t="shared" si="17"/>
        <v>5</v>
      </c>
      <c r="AB25" s="21">
        <f t="shared" si="18"/>
        <v>6</v>
      </c>
      <c r="AC25" s="21" t="str">
        <f t="shared" si="19"/>
        <v/>
      </c>
      <c r="AD25" s="21">
        <f t="shared" si="20"/>
        <v>8</v>
      </c>
      <c r="AE25" s="21">
        <f t="shared" si="21"/>
        <v>9</v>
      </c>
      <c r="AH25" s="16">
        <f t="shared" ref="AH25:AH41" si="26">COUNTA(B25:G25,I25,L25,N25:O25,Q25:U25)</f>
        <v>1</v>
      </c>
      <c r="AI25" s="51">
        <f t="shared" si="22"/>
        <v>0</v>
      </c>
      <c r="AJ25" s="28">
        <f t="shared" si="6"/>
        <v>0</v>
      </c>
      <c r="AK25" s="109">
        <f t="shared" si="7"/>
        <v>0</v>
      </c>
      <c r="AL25" s="110">
        <f t="shared" si="23"/>
        <v>0</v>
      </c>
      <c r="AM25" s="261"/>
      <c r="AN25" s="261"/>
      <c r="AR25" s="16" t="str">
        <f t="shared" si="8"/>
        <v/>
      </c>
      <c r="AS25" s="16"/>
      <c r="AT25" s="16" t="str">
        <f t="shared" si="9"/>
        <v/>
      </c>
      <c r="AU25" s="29">
        <f t="shared" si="10"/>
        <v>0</v>
      </c>
      <c r="AV25" s="28">
        <f t="shared" si="11"/>
        <v>0</v>
      </c>
      <c r="AW25" s="28">
        <f t="shared" si="12"/>
        <v>0</v>
      </c>
      <c r="AX25" s="174">
        <f t="shared" si="13"/>
        <v>0</v>
      </c>
      <c r="AY25" s="173">
        <f t="shared" si="14"/>
        <v>0</v>
      </c>
      <c r="AZ25" s="109">
        <f t="shared" si="14"/>
        <v>0</v>
      </c>
      <c r="BA25" s="109">
        <f t="shared" si="14"/>
        <v>0</v>
      </c>
      <c r="BB25" s="109">
        <f t="shared" si="14"/>
        <v>0</v>
      </c>
      <c r="BC25" s="109">
        <f t="shared" si="14"/>
        <v>0</v>
      </c>
      <c r="BD25" s="109">
        <f t="shared" si="14"/>
        <v>0</v>
      </c>
      <c r="BE25" s="109">
        <f t="shared" si="14"/>
        <v>0</v>
      </c>
      <c r="BF25" s="109">
        <f t="shared" si="14"/>
        <v>0</v>
      </c>
      <c r="BH25" s="16" t="str">
        <f t="shared" si="24"/>
        <v/>
      </c>
      <c r="BI25" s="16">
        <f>IF(BH25="",0,COUNTIF(BH$19:BH$41,BH25))</f>
        <v>0</v>
      </c>
      <c r="BQ25" s="14"/>
      <c r="BR25" s="19"/>
      <c r="BS25" s="19"/>
    </row>
    <row r="26" spans="1:71" ht="20.100000000000001" customHeight="1" x14ac:dyDescent="0.3">
      <c r="B26" s="399"/>
      <c r="C26" s="400"/>
      <c r="D26" s="200"/>
      <c r="E26" s="201"/>
      <c r="F26" s="247" t="s">
        <v>49</v>
      </c>
      <c r="G26" s="248"/>
      <c r="H26" s="250">
        <f t="shared" si="2"/>
        <v>0</v>
      </c>
      <c r="I26" s="203"/>
      <c r="J26" s="449">
        <f t="shared" si="3"/>
        <v>0</v>
      </c>
      <c r="K26" s="450"/>
      <c r="L26" s="202"/>
      <c r="M26" s="322"/>
      <c r="N26" s="323"/>
      <c r="O26" s="202"/>
      <c r="P26" s="207">
        <f t="shared" si="4"/>
        <v>0</v>
      </c>
      <c r="Q26" s="402"/>
      <c r="R26" s="403"/>
      <c r="S26" s="403"/>
      <c r="T26" s="370"/>
      <c r="U26" s="371"/>
      <c r="V26" s="284" t="str">
        <f t="shared" si="25"/>
        <v/>
      </c>
      <c r="W26" s="319"/>
      <c r="Y26" s="14"/>
      <c r="Z26" s="21">
        <f t="shared" ca="1" si="16"/>
        <v>4</v>
      </c>
      <c r="AA26" s="21">
        <f t="shared" si="17"/>
        <v>5</v>
      </c>
      <c r="AB26" s="21">
        <f t="shared" si="18"/>
        <v>6</v>
      </c>
      <c r="AC26" s="21" t="str">
        <f t="shared" si="19"/>
        <v/>
      </c>
      <c r="AD26" s="21">
        <f t="shared" si="20"/>
        <v>8</v>
      </c>
      <c r="AE26" s="21">
        <f t="shared" si="21"/>
        <v>9</v>
      </c>
      <c r="AH26" s="16">
        <f t="shared" si="26"/>
        <v>1</v>
      </c>
      <c r="AI26" s="51">
        <f t="shared" si="22"/>
        <v>0</v>
      </c>
      <c r="AJ26" s="28">
        <f t="shared" si="6"/>
        <v>0</v>
      </c>
      <c r="AK26" s="109">
        <f t="shared" si="7"/>
        <v>0</v>
      </c>
      <c r="AL26" s="110">
        <f t="shared" si="23"/>
        <v>0</v>
      </c>
      <c r="AM26" s="261"/>
      <c r="AN26" s="261"/>
      <c r="AR26" s="16" t="str">
        <f t="shared" si="8"/>
        <v/>
      </c>
      <c r="AS26" s="16"/>
      <c r="AT26" s="16" t="str">
        <f t="shared" si="9"/>
        <v/>
      </c>
      <c r="AU26" s="29">
        <f t="shared" si="10"/>
        <v>0</v>
      </c>
      <c r="AV26" s="28">
        <f t="shared" si="11"/>
        <v>0</v>
      </c>
      <c r="AW26" s="28">
        <f t="shared" si="12"/>
        <v>0</v>
      </c>
      <c r="AX26" s="174">
        <f t="shared" si="13"/>
        <v>0</v>
      </c>
      <c r="AY26" s="173">
        <f t="shared" si="14"/>
        <v>0</v>
      </c>
      <c r="AZ26" s="109">
        <f t="shared" si="14"/>
        <v>0</v>
      </c>
      <c r="BA26" s="109">
        <f t="shared" si="14"/>
        <v>0</v>
      </c>
      <c r="BB26" s="109">
        <f t="shared" si="14"/>
        <v>0</v>
      </c>
      <c r="BC26" s="109">
        <f t="shared" si="14"/>
        <v>0</v>
      </c>
      <c r="BD26" s="109">
        <f t="shared" si="14"/>
        <v>0</v>
      </c>
      <c r="BE26" s="109">
        <f t="shared" si="14"/>
        <v>0</v>
      </c>
      <c r="BF26" s="109">
        <f t="shared" si="14"/>
        <v>0</v>
      </c>
      <c r="BH26" s="16" t="str">
        <f t="shared" si="24"/>
        <v/>
      </c>
      <c r="BI26" s="16">
        <f t="shared" ref="BI26:BI41" si="27">IF(BH26="",0,COUNTIF(BH$19:BH$41,BH26))</f>
        <v>0</v>
      </c>
    </row>
    <row r="27" spans="1:71" ht="20.100000000000001" customHeight="1" x14ac:dyDescent="0.3">
      <c r="B27" s="399"/>
      <c r="C27" s="400"/>
      <c r="D27" s="200"/>
      <c r="E27" s="201"/>
      <c r="F27" s="247"/>
      <c r="G27" s="248"/>
      <c r="H27" s="250" t="str">
        <f t="shared" si="2"/>
        <v/>
      </c>
      <c r="I27" s="203"/>
      <c r="J27" s="449" t="str">
        <f t="shared" si="3"/>
        <v/>
      </c>
      <c r="K27" s="450"/>
      <c r="L27" s="202"/>
      <c r="M27" s="322"/>
      <c r="N27" s="323"/>
      <c r="O27" s="202"/>
      <c r="P27" s="207" t="str">
        <f t="shared" si="4"/>
        <v/>
      </c>
      <c r="Q27" s="402"/>
      <c r="R27" s="403"/>
      <c r="S27" s="403"/>
      <c r="T27" s="370"/>
      <c r="U27" s="371"/>
      <c r="V27" s="284" t="str">
        <f t="shared" si="25"/>
        <v/>
      </c>
      <c r="W27" s="319"/>
      <c r="Y27" s="14"/>
      <c r="Z27" s="21" t="str">
        <f t="shared" ca="1" si="16"/>
        <v/>
      </c>
      <c r="AA27" s="21" t="str">
        <f t="shared" si="17"/>
        <v/>
      </c>
      <c r="AB27" s="21" t="str">
        <f t="shared" si="18"/>
        <v/>
      </c>
      <c r="AC27" s="21" t="str">
        <f t="shared" si="19"/>
        <v/>
      </c>
      <c r="AD27" s="21" t="str">
        <f t="shared" si="20"/>
        <v/>
      </c>
      <c r="AE27" s="21" t="str">
        <f t="shared" si="21"/>
        <v/>
      </c>
      <c r="AH27" s="16">
        <f t="shared" si="26"/>
        <v>0</v>
      </c>
      <c r="AI27" s="51">
        <f t="shared" si="22"/>
        <v>0</v>
      </c>
      <c r="AJ27" s="28">
        <f t="shared" si="6"/>
        <v>0</v>
      </c>
      <c r="AK27" s="109">
        <f t="shared" si="7"/>
        <v>0</v>
      </c>
      <c r="AL27" s="110">
        <f t="shared" si="23"/>
        <v>0</v>
      </c>
      <c r="AM27" s="261"/>
      <c r="AN27" s="261"/>
      <c r="AR27" s="16" t="str">
        <f t="shared" si="8"/>
        <v/>
      </c>
      <c r="AS27" s="16"/>
      <c r="AT27" s="16" t="str">
        <f t="shared" si="9"/>
        <v/>
      </c>
      <c r="AU27" s="29">
        <f t="shared" si="10"/>
        <v>0</v>
      </c>
      <c r="AV27" s="28">
        <f t="shared" si="11"/>
        <v>0</v>
      </c>
      <c r="AW27" s="28" t="str">
        <f t="shared" si="12"/>
        <v/>
      </c>
      <c r="AX27" s="174" t="str">
        <f t="shared" si="13"/>
        <v/>
      </c>
      <c r="AY27" s="173">
        <f t="shared" si="14"/>
        <v>0</v>
      </c>
      <c r="AZ27" s="109">
        <f t="shared" si="14"/>
        <v>0</v>
      </c>
      <c r="BA27" s="109">
        <f t="shared" si="14"/>
        <v>0</v>
      </c>
      <c r="BB27" s="109">
        <f t="shared" si="14"/>
        <v>0</v>
      </c>
      <c r="BC27" s="109">
        <f t="shared" si="14"/>
        <v>0</v>
      </c>
      <c r="BD27" s="109">
        <f t="shared" si="14"/>
        <v>0</v>
      </c>
      <c r="BE27" s="109">
        <f t="shared" si="14"/>
        <v>0</v>
      </c>
      <c r="BF27" s="109">
        <f t="shared" si="14"/>
        <v>0</v>
      </c>
      <c r="BH27" s="16" t="str">
        <f t="shared" si="24"/>
        <v/>
      </c>
      <c r="BI27" s="16">
        <f t="shared" si="27"/>
        <v>0</v>
      </c>
    </row>
    <row r="28" spans="1:71" ht="20.100000000000001" customHeight="1" x14ac:dyDescent="0.3">
      <c r="B28" s="399"/>
      <c r="C28" s="400"/>
      <c r="D28" s="200"/>
      <c r="E28" s="201"/>
      <c r="F28" s="247"/>
      <c r="G28" s="248"/>
      <c r="H28" s="250" t="str">
        <f t="shared" si="2"/>
        <v/>
      </c>
      <c r="I28" s="203"/>
      <c r="J28" s="449" t="str">
        <f t="shared" si="3"/>
        <v/>
      </c>
      <c r="K28" s="450"/>
      <c r="L28" s="202"/>
      <c r="M28" s="322"/>
      <c r="N28" s="323"/>
      <c r="O28" s="202"/>
      <c r="P28" s="207" t="str">
        <f t="shared" si="4"/>
        <v/>
      </c>
      <c r="Q28" s="402"/>
      <c r="R28" s="403"/>
      <c r="S28" s="403"/>
      <c r="T28" s="370"/>
      <c r="U28" s="371"/>
      <c r="V28" s="284" t="str">
        <f>AT28</f>
        <v/>
      </c>
      <c r="W28" s="319"/>
      <c r="Y28" s="14"/>
      <c r="Z28" s="21" t="str">
        <f t="shared" ca="1" si="16"/>
        <v/>
      </c>
      <c r="AA28" s="21" t="str">
        <f t="shared" si="17"/>
        <v/>
      </c>
      <c r="AB28" s="21" t="str">
        <f t="shared" si="18"/>
        <v/>
      </c>
      <c r="AC28" s="21" t="str">
        <f t="shared" si="19"/>
        <v/>
      </c>
      <c r="AD28" s="21" t="str">
        <f t="shared" si="20"/>
        <v/>
      </c>
      <c r="AE28" s="21" t="str">
        <f t="shared" si="21"/>
        <v/>
      </c>
      <c r="AH28" s="16">
        <f t="shared" si="26"/>
        <v>0</v>
      </c>
      <c r="AI28" s="51">
        <f t="shared" si="22"/>
        <v>0</v>
      </c>
      <c r="AJ28" s="28">
        <f t="shared" si="6"/>
        <v>0</v>
      </c>
      <c r="AK28" s="109">
        <f t="shared" si="7"/>
        <v>0</v>
      </c>
      <c r="AL28" s="110">
        <f t="shared" si="23"/>
        <v>0</v>
      </c>
      <c r="AM28" s="261"/>
      <c r="AN28" s="261"/>
      <c r="AR28" s="16" t="str">
        <f t="shared" si="8"/>
        <v/>
      </c>
      <c r="AS28" s="16"/>
      <c r="AT28" s="16" t="str">
        <f t="shared" si="9"/>
        <v/>
      </c>
      <c r="AU28" s="29">
        <f t="shared" si="10"/>
        <v>0</v>
      </c>
      <c r="AV28" s="28">
        <f t="shared" si="11"/>
        <v>0</v>
      </c>
      <c r="AW28" s="28" t="str">
        <f t="shared" si="12"/>
        <v/>
      </c>
      <c r="AX28" s="174" t="str">
        <f t="shared" si="13"/>
        <v/>
      </c>
      <c r="AY28" s="173">
        <f t="shared" si="14"/>
        <v>0</v>
      </c>
      <c r="AZ28" s="109">
        <f t="shared" si="14"/>
        <v>0</v>
      </c>
      <c r="BA28" s="109">
        <f t="shared" si="14"/>
        <v>0</v>
      </c>
      <c r="BB28" s="109">
        <f t="shared" si="14"/>
        <v>0</v>
      </c>
      <c r="BC28" s="109">
        <f t="shared" si="14"/>
        <v>0</v>
      </c>
      <c r="BD28" s="109">
        <f t="shared" si="14"/>
        <v>0</v>
      </c>
      <c r="BE28" s="109">
        <f t="shared" si="14"/>
        <v>0</v>
      </c>
      <c r="BF28" s="109">
        <f t="shared" si="14"/>
        <v>0</v>
      </c>
      <c r="BH28" s="16" t="str">
        <f t="shared" si="24"/>
        <v/>
      </c>
      <c r="BI28" s="16">
        <f t="shared" si="27"/>
        <v>0</v>
      </c>
      <c r="BN28" s="17"/>
    </row>
    <row r="29" spans="1:71" ht="20.100000000000001" customHeight="1" x14ac:dyDescent="0.3">
      <c r="B29" s="399"/>
      <c r="C29" s="400"/>
      <c r="D29" s="200"/>
      <c r="E29" s="201"/>
      <c r="F29" s="247"/>
      <c r="G29" s="248"/>
      <c r="H29" s="250" t="str">
        <f t="shared" si="2"/>
        <v/>
      </c>
      <c r="I29" s="203"/>
      <c r="J29" s="449" t="str">
        <f t="shared" si="3"/>
        <v/>
      </c>
      <c r="K29" s="450"/>
      <c r="L29" s="202"/>
      <c r="M29" s="322"/>
      <c r="N29" s="323"/>
      <c r="O29" s="202"/>
      <c r="P29" s="207" t="str">
        <f t="shared" si="4"/>
        <v/>
      </c>
      <c r="Q29" s="402"/>
      <c r="R29" s="403"/>
      <c r="S29" s="403"/>
      <c r="T29" s="370"/>
      <c r="U29" s="371"/>
      <c r="V29" s="284" t="str">
        <f t="shared" ref="V29:V41" si="28">AT29</f>
        <v/>
      </c>
      <c r="W29" s="319"/>
      <c r="Y29" s="14"/>
      <c r="Z29" s="21" t="str">
        <f t="shared" ca="1" si="16"/>
        <v/>
      </c>
      <c r="AA29" s="21" t="str">
        <f t="shared" si="17"/>
        <v/>
      </c>
      <c r="AB29" s="21" t="str">
        <f t="shared" si="18"/>
        <v/>
      </c>
      <c r="AC29" s="21" t="str">
        <f t="shared" si="19"/>
        <v/>
      </c>
      <c r="AD29" s="21" t="str">
        <f t="shared" si="20"/>
        <v/>
      </c>
      <c r="AE29" s="21" t="str">
        <f t="shared" si="21"/>
        <v/>
      </c>
      <c r="AH29" s="16">
        <f t="shared" si="26"/>
        <v>0</v>
      </c>
      <c r="AI29" s="51">
        <f t="shared" si="22"/>
        <v>0</v>
      </c>
      <c r="AJ29" s="28">
        <f t="shared" si="6"/>
        <v>0</v>
      </c>
      <c r="AK29" s="109">
        <f t="shared" si="7"/>
        <v>0</v>
      </c>
      <c r="AL29" s="110">
        <f t="shared" si="23"/>
        <v>0</v>
      </c>
      <c r="AM29" s="261"/>
      <c r="AN29" s="261"/>
      <c r="AR29" s="16" t="str">
        <f t="shared" si="8"/>
        <v/>
      </c>
      <c r="AS29" s="16"/>
      <c r="AT29" s="16" t="str">
        <f t="shared" si="9"/>
        <v/>
      </c>
      <c r="AU29" s="29">
        <f t="shared" si="10"/>
        <v>0</v>
      </c>
      <c r="AV29" s="28">
        <f t="shared" si="11"/>
        <v>0</v>
      </c>
      <c r="AW29" s="28" t="str">
        <f t="shared" si="12"/>
        <v/>
      </c>
      <c r="AX29" s="174" t="str">
        <f t="shared" si="13"/>
        <v/>
      </c>
      <c r="AY29" s="173">
        <f t="shared" si="14"/>
        <v>0</v>
      </c>
      <c r="AZ29" s="109">
        <f t="shared" si="14"/>
        <v>0</v>
      </c>
      <c r="BA29" s="109">
        <f t="shared" si="14"/>
        <v>0</v>
      </c>
      <c r="BB29" s="109">
        <f t="shared" si="14"/>
        <v>0</v>
      </c>
      <c r="BC29" s="109">
        <f t="shared" si="14"/>
        <v>0</v>
      </c>
      <c r="BD29" s="109">
        <f t="shared" si="14"/>
        <v>0</v>
      </c>
      <c r="BE29" s="109">
        <f t="shared" si="14"/>
        <v>0</v>
      </c>
      <c r="BF29" s="109">
        <f t="shared" si="14"/>
        <v>0</v>
      </c>
      <c r="BH29" s="16" t="str">
        <f t="shared" si="24"/>
        <v/>
      </c>
      <c r="BI29" s="16">
        <f t="shared" si="27"/>
        <v>0</v>
      </c>
    </row>
    <row r="30" spans="1:71" ht="20.100000000000001" customHeight="1" x14ac:dyDescent="0.3">
      <c r="B30" s="399"/>
      <c r="C30" s="400"/>
      <c r="D30" s="200"/>
      <c r="E30" s="201"/>
      <c r="F30" s="247"/>
      <c r="G30" s="248"/>
      <c r="H30" s="250" t="str">
        <f t="shared" si="2"/>
        <v/>
      </c>
      <c r="I30" s="203"/>
      <c r="J30" s="449" t="str">
        <f t="shared" si="3"/>
        <v/>
      </c>
      <c r="K30" s="450"/>
      <c r="L30" s="202"/>
      <c r="M30" s="322"/>
      <c r="N30" s="323"/>
      <c r="O30" s="202"/>
      <c r="P30" s="207" t="str">
        <f t="shared" si="4"/>
        <v/>
      </c>
      <c r="Q30" s="402"/>
      <c r="R30" s="403"/>
      <c r="S30" s="403"/>
      <c r="T30" s="370"/>
      <c r="U30" s="371"/>
      <c r="V30" s="284" t="str">
        <f t="shared" si="28"/>
        <v/>
      </c>
      <c r="W30" s="319"/>
      <c r="Y30" s="14"/>
      <c r="Z30" s="21" t="str">
        <f t="shared" ca="1" si="16"/>
        <v/>
      </c>
      <c r="AA30" s="21" t="str">
        <f t="shared" si="17"/>
        <v/>
      </c>
      <c r="AB30" s="21" t="str">
        <f t="shared" si="18"/>
        <v/>
      </c>
      <c r="AC30" s="21" t="str">
        <f t="shared" si="19"/>
        <v/>
      </c>
      <c r="AD30" s="21" t="str">
        <f t="shared" si="20"/>
        <v/>
      </c>
      <c r="AE30" s="21" t="str">
        <f t="shared" si="21"/>
        <v/>
      </c>
      <c r="AH30" s="16">
        <f t="shared" si="26"/>
        <v>0</v>
      </c>
      <c r="AI30" s="51">
        <f t="shared" si="22"/>
        <v>0</v>
      </c>
      <c r="AJ30" s="28">
        <f t="shared" si="6"/>
        <v>0</v>
      </c>
      <c r="AK30" s="109">
        <f t="shared" si="7"/>
        <v>0</v>
      </c>
      <c r="AL30" s="110">
        <f t="shared" si="23"/>
        <v>0</v>
      </c>
      <c r="AM30" s="261"/>
      <c r="AN30" s="261"/>
      <c r="AR30" s="16" t="str">
        <f t="shared" si="8"/>
        <v/>
      </c>
      <c r="AS30" s="16"/>
      <c r="AT30" s="16" t="str">
        <f t="shared" si="9"/>
        <v/>
      </c>
      <c r="AU30" s="29">
        <f t="shared" si="10"/>
        <v>0</v>
      </c>
      <c r="AV30" s="28">
        <f t="shared" si="11"/>
        <v>0</v>
      </c>
      <c r="AW30" s="28" t="str">
        <f t="shared" si="12"/>
        <v/>
      </c>
      <c r="AX30" s="174" t="str">
        <f t="shared" si="13"/>
        <v/>
      </c>
      <c r="AY30" s="173">
        <f t="shared" si="14"/>
        <v>0</v>
      </c>
      <c r="AZ30" s="109">
        <f t="shared" si="14"/>
        <v>0</v>
      </c>
      <c r="BA30" s="109">
        <f t="shared" si="14"/>
        <v>0</v>
      </c>
      <c r="BB30" s="109">
        <f t="shared" si="14"/>
        <v>0</v>
      </c>
      <c r="BC30" s="109">
        <f t="shared" si="14"/>
        <v>0</v>
      </c>
      <c r="BD30" s="109">
        <f t="shared" si="14"/>
        <v>0</v>
      </c>
      <c r="BE30" s="109">
        <f t="shared" si="14"/>
        <v>0</v>
      </c>
      <c r="BF30" s="109">
        <f t="shared" si="14"/>
        <v>0</v>
      </c>
      <c r="BH30" s="16" t="str">
        <f t="shared" si="24"/>
        <v/>
      </c>
      <c r="BI30" s="16">
        <f t="shared" si="27"/>
        <v>0</v>
      </c>
    </row>
    <row r="31" spans="1:71" ht="20.100000000000001" customHeight="1" x14ac:dyDescent="0.3">
      <c r="B31" s="399"/>
      <c r="C31" s="400"/>
      <c r="D31" s="200"/>
      <c r="E31" s="201"/>
      <c r="F31" s="247"/>
      <c r="G31" s="248"/>
      <c r="H31" s="250" t="str">
        <f t="shared" si="2"/>
        <v/>
      </c>
      <c r="I31" s="203"/>
      <c r="J31" s="449" t="str">
        <f t="shared" si="3"/>
        <v/>
      </c>
      <c r="K31" s="450"/>
      <c r="L31" s="202"/>
      <c r="M31" s="322"/>
      <c r="N31" s="323"/>
      <c r="O31" s="202"/>
      <c r="P31" s="207" t="str">
        <f t="shared" si="4"/>
        <v/>
      </c>
      <c r="Q31" s="402"/>
      <c r="R31" s="403"/>
      <c r="S31" s="403"/>
      <c r="T31" s="370"/>
      <c r="U31" s="371"/>
      <c r="V31" s="284" t="str">
        <f t="shared" si="28"/>
        <v/>
      </c>
      <c r="W31" s="319"/>
      <c r="Y31" s="14"/>
      <c r="Z31" s="21" t="str">
        <f t="shared" ca="1" si="16"/>
        <v/>
      </c>
      <c r="AA31" s="21" t="str">
        <f t="shared" si="17"/>
        <v/>
      </c>
      <c r="AB31" s="21" t="str">
        <f t="shared" si="18"/>
        <v/>
      </c>
      <c r="AC31" s="21" t="str">
        <f t="shared" si="19"/>
        <v/>
      </c>
      <c r="AD31" s="21" t="str">
        <f t="shared" si="20"/>
        <v/>
      </c>
      <c r="AE31" s="21" t="str">
        <f t="shared" si="21"/>
        <v/>
      </c>
      <c r="AH31" s="16">
        <f t="shared" si="26"/>
        <v>0</v>
      </c>
      <c r="AI31" s="51">
        <f t="shared" si="22"/>
        <v>0</v>
      </c>
      <c r="AJ31" s="28">
        <f t="shared" si="6"/>
        <v>0</v>
      </c>
      <c r="AK31" s="109">
        <f t="shared" si="7"/>
        <v>0</v>
      </c>
      <c r="AL31" s="110">
        <f t="shared" si="23"/>
        <v>0</v>
      </c>
      <c r="AM31" s="261"/>
      <c r="AN31" s="261"/>
      <c r="AR31" s="16" t="str">
        <f t="shared" si="8"/>
        <v/>
      </c>
      <c r="AS31" s="16"/>
      <c r="AT31" s="16" t="str">
        <f t="shared" si="9"/>
        <v/>
      </c>
      <c r="AU31" s="29">
        <f t="shared" si="10"/>
        <v>0</v>
      </c>
      <c r="AV31" s="28">
        <f t="shared" si="11"/>
        <v>0</v>
      </c>
      <c r="AW31" s="28" t="str">
        <f t="shared" si="12"/>
        <v/>
      </c>
      <c r="AX31" s="174" t="str">
        <f t="shared" si="13"/>
        <v/>
      </c>
      <c r="AY31" s="173">
        <f t="shared" si="14"/>
        <v>0</v>
      </c>
      <c r="AZ31" s="109">
        <f t="shared" si="14"/>
        <v>0</v>
      </c>
      <c r="BA31" s="109">
        <f t="shared" si="14"/>
        <v>0</v>
      </c>
      <c r="BB31" s="109">
        <f t="shared" si="14"/>
        <v>0</v>
      </c>
      <c r="BC31" s="109">
        <f t="shared" si="14"/>
        <v>0</v>
      </c>
      <c r="BD31" s="109">
        <f t="shared" si="14"/>
        <v>0</v>
      </c>
      <c r="BE31" s="109">
        <f t="shared" si="14"/>
        <v>0</v>
      </c>
      <c r="BF31" s="109">
        <f t="shared" si="14"/>
        <v>0</v>
      </c>
      <c r="BH31" s="16" t="str">
        <f t="shared" si="24"/>
        <v/>
      </c>
      <c r="BI31" s="16">
        <f t="shared" si="27"/>
        <v>0</v>
      </c>
    </row>
    <row r="32" spans="1:71" ht="20.100000000000001" customHeight="1" x14ac:dyDescent="0.3">
      <c r="B32" s="399"/>
      <c r="C32" s="400"/>
      <c r="D32" s="200"/>
      <c r="E32" s="201"/>
      <c r="F32" s="247"/>
      <c r="G32" s="248"/>
      <c r="H32" s="250" t="str">
        <f t="shared" si="2"/>
        <v/>
      </c>
      <c r="I32" s="203"/>
      <c r="J32" s="449" t="str">
        <f t="shared" si="3"/>
        <v/>
      </c>
      <c r="K32" s="450"/>
      <c r="L32" s="202"/>
      <c r="M32" s="322"/>
      <c r="N32" s="323"/>
      <c r="O32" s="202"/>
      <c r="P32" s="207" t="str">
        <f t="shared" si="4"/>
        <v/>
      </c>
      <c r="Q32" s="402"/>
      <c r="R32" s="403"/>
      <c r="S32" s="403"/>
      <c r="T32" s="370"/>
      <c r="U32" s="371"/>
      <c r="V32" s="284" t="str">
        <f t="shared" si="28"/>
        <v/>
      </c>
      <c r="W32" s="319"/>
      <c r="Y32" s="14"/>
      <c r="Z32" s="21" t="str">
        <f t="shared" ca="1" si="16"/>
        <v/>
      </c>
      <c r="AA32" s="21" t="str">
        <f t="shared" si="17"/>
        <v/>
      </c>
      <c r="AB32" s="21" t="str">
        <f t="shared" si="18"/>
        <v/>
      </c>
      <c r="AC32" s="21" t="str">
        <f t="shared" si="19"/>
        <v/>
      </c>
      <c r="AD32" s="21" t="str">
        <f t="shared" si="20"/>
        <v/>
      </c>
      <c r="AE32" s="21" t="str">
        <f t="shared" si="21"/>
        <v/>
      </c>
      <c r="AH32" s="16">
        <f t="shared" si="26"/>
        <v>0</v>
      </c>
      <c r="AI32" s="51">
        <f t="shared" si="22"/>
        <v>0</v>
      </c>
      <c r="AJ32" s="28">
        <f t="shared" si="6"/>
        <v>0</v>
      </c>
      <c r="AK32" s="109">
        <f t="shared" si="7"/>
        <v>0</v>
      </c>
      <c r="AL32" s="110">
        <f t="shared" si="23"/>
        <v>0</v>
      </c>
      <c r="AM32" s="261"/>
      <c r="AN32" s="261"/>
      <c r="AR32" s="16" t="str">
        <f t="shared" si="8"/>
        <v/>
      </c>
      <c r="AS32" s="16"/>
      <c r="AT32" s="16" t="str">
        <f t="shared" si="9"/>
        <v/>
      </c>
      <c r="AU32" s="29">
        <f t="shared" si="10"/>
        <v>0</v>
      </c>
      <c r="AV32" s="28">
        <f t="shared" si="11"/>
        <v>0</v>
      </c>
      <c r="AW32" s="28" t="str">
        <f t="shared" si="12"/>
        <v/>
      </c>
      <c r="AX32" s="174" t="str">
        <f t="shared" si="13"/>
        <v/>
      </c>
      <c r="AY32" s="173">
        <f t="shared" si="14"/>
        <v>0</v>
      </c>
      <c r="AZ32" s="109">
        <f t="shared" si="14"/>
        <v>0</v>
      </c>
      <c r="BA32" s="109">
        <f t="shared" si="14"/>
        <v>0</v>
      </c>
      <c r="BB32" s="109">
        <f t="shared" si="14"/>
        <v>0</v>
      </c>
      <c r="BC32" s="109">
        <f t="shared" si="14"/>
        <v>0</v>
      </c>
      <c r="BD32" s="109">
        <f t="shared" si="14"/>
        <v>0</v>
      </c>
      <c r="BE32" s="109">
        <f t="shared" si="14"/>
        <v>0</v>
      </c>
      <c r="BF32" s="109">
        <f t="shared" si="14"/>
        <v>0</v>
      </c>
      <c r="BH32" s="16" t="str">
        <f t="shared" si="24"/>
        <v/>
      </c>
      <c r="BI32" s="16">
        <f t="shared" si="27"/>
        <v>0</v>
      </c>
    </row>
    <row r="33" spans="2:61" ht="20.100000000000001" customHeight="1" x14ac:dyDescent="0.3">
      <c r="B33" s="399"/>
      <c r="C33" s="400"/>
      <c r="D33" s="200"/>
      <c r="E33" s="201"/>
      <c r="F33" s="247"/>
      <c r="G33" s="248"/>
      <c r="H33" s="250" t="str">
        <f t="shared" si="2"/>
        <v/>
      </c>
      <c r="I33" s="203"/>
      <c r="J33" s="449" t="str">
        <f t="shared" si="3"/>
        <v/>
      </c>
      <c r="K33" s="450"/>
      <c r="L33" s="202"/>
      <c r="M33" s="322"/>
      <c r="N33" s="323"/>
      <c r="O33" s="202"/>
      <c r="P33" s="207" t="str">
        <f t="shared" si="4"/>
        <v/>
      </c>
      <c r="Q33" s="402"/>
      <c r="R33" s="403"/>
      <c r="S33" s="403"/>
      <c r="T33" s="370"/>
      <c r="U33" s="371"/>
      <c r="V33" s="284" t="str">
        <f t="shared" si="28"/>
        <v/>
      </c>
      <c r="W33" s="319"/>
      <c r="Y33" s="14"/>
      <c r="Z33" s="21" t="str">
        <f t="shared" ca="1" si="16"/>
        <v/>
      </c>
      <c r="AA33" s="21" t="str">
        <f t="shared" si="17"/>
        <v/>
      </c>
      <c r="AB33" s="21" t="str">
        <f t="shared" si="18"/>
        <v/>
      </c>
      <c r="AC33" s="21" t="str">
        <f t="shared" si="19"/>
        <v/>
      </c>
      <c r="AD33" s="21" t="str">
        <f t="shared" si="20"/>
        <v/>
      </c>
      <c r="AE33" s="21" t="str">
        <f t="shared" si="21"/>
        <v/>
      </c>
      <c r="AH33" s="16">
        <f t="shared" si="26"/>
        <v>0</v>
      </c>
      <c r="AI33" s="51">
        <f t="shared" si="22"/>
        <v>0</v>
      </c>
      <c r="AJ33" s="28">
        <f t="shared" si="6"/>
        <v>0</v>
      </c>
      <c r="AK33" s="109">
        <f t="shared" si="7"/>
        <v>0</v>
      </c>
      <c r="AL33" s="110">
        <f t="shared" si="23"/>
        <v>0</v>
      </c>
      <c r="AM33" s="261"/>
      <c r="AN33" s="261"/>
      <c r="AR33" s="16" t="str">
        <f t="shared" si="8"/>
        <v/>
      </c>
      <c r="AS33" s="16"/>
      <c r="AT33" s="16" t="str">
        <f t="shared" si="9"/>
        <v/>
      </c>
      <c r="AU33" s="29">
        <f t="shared" si="10"/>
        <v>0</v>
      </c>
      <c r="AV33" s="28">
        <f t="shared" si="11"/>
        <v>0</v>
      </c>
      <c r="AW33" s="28" t="str">
        <f t="shared" si="12"/>
        <v/>
      </c>
      <c r="AX33" s="174" t="str">
        <f t="shared" si="13"/>
        <v/>
      </c>
      <c r="AY33" s="173">
        <f t="shared" si="14"/>
        <v>0</v>
      </c>
      <c r="AZ33" s="109">
        <f t="shared" si="14"/>
        <v>0</v>
      </c>
      <c r="BA33" s="109">
        <f t="shared" si="14"/>
        <v>0</v>
      </c>
      <c r="BB33" s="109">
        <f t="shared" si="14"/>
        <v>0</v>
      </c>
      <c r="BC33" s="109">
        <f t="shared" si="14"/>
        <v>0</v>
      </c>
      <c r="BD33" s="109">
        <f t="shared" si="14"/>
        <v>0</v>
      </c>
      <c r="BE33" s="109">
        <f t="shared" si="14"/>
        <v>0</v>
      </c>
      <c r="BF33" s="109">
        <f t="shared" si="14"/>
        <v>0</v>
      </c>
      <c r="BH33" s="16" t="str">
        <f t="shared" si="24"/>
        <v/>
      </c>
      <c r="BI33" s="16">
        <f t="shared" si="27"/>
        <v>0</v>
      </c>
    </row>
    <row r="34" spans="2:61" ht="20.100000000000001" customHeight="1" x14ac:dyDescent="0.3">
      <c r="B34" s="399"/>
      <c r="C34" s="400"/>
      <c r="D34" s="200"/>
      <c r="E34" s="201"/>
      <c r="F34" s="247"/>
      <c r="G34" s="248"/>
      <c r="H34" s="250" t="str">
        <f t="shared" si="2"/>
        <v/>
      </c>
      <c r="I34" s="203"/>
      <c r="J34" s="449" t="str">
        <f t="shared" si="3"/>
        <v/>
      </c>
      <c r="K34" s="450"/>
      <c r="L34" s="202"/>
      <c r="M34" s="322"/>
      <c r="N34" s="323"/>
      <c r="O34" s="202"/>
      <c r="P34" s="207" t="str">
        <f t="shared" si="4"/>
        <v/>
      </c>
      <c r="Q34" s="402"/>
      <c r="R34" s="403"/>
      <c r="S34" s="403"/>
      <c r="T34" s="370"/>
      <c r="U34" s="371"/>
      <c r="V34" s="284" t="str">
        <f t="shared" si="28"/>
        <v/>
      </c>
      <c r="W34" s="319"/>
      <c r="Y34" s="14"/>
      <c r="Z34" s="21" t="str">
        <f t="shared" ca="1" si="16"/>
        <v/>
      </c>
      <c r="AA34" s="21" t="str">
        <f t="shared" si="17"/>
        <v/>
      </c>
      <c r="AB34" s="21" t="str">
        <f t="shared" si="18"/>
        <v/>
      </c>
      <c r="AC34" s="21" t="str">
        <f t="shared" si="19"/>
        <v/>
      </c>
      <c r="AD34" s="21" t="str">
        <f t="shared" si="20"/>
        <v/>
      </c>
      <c r="AE34" s="21" t="str">
        <f t="shared" si="21"/>
        <v/>
      </c>
      <c r="AH34" s="16">
        <f t="shared" si="26"/>
        <v>0</v>
      </c>
      <c r="AI34" s="51">
        <f t="shared" si="22"/>
        <v>0</v>
      </c>
      <c r="AJ34" s="28">
        <f t="shared" si="6"/>
        <v>0</v>
      </c>
      <c r="AK34" s="109">
        <f t="shared" si="7"/>
        <v>0</v>
      </c>
      <c r="AL34" s="110">
        <f t="shared" si="23"/>
        <v>0</v>
      </c>
      <c r="AM34" s="261"/>
      <c r="AN34" s="261"/>
      <c r="AR34" s="16" t="str">
        <f t="shared" si="8"/>
        <v/>
      </c>
      <c r="AS34" s="16"/>
      <c r="AT34" s="16" t="str">
        <f t="shared" si="9"/>
        <v/>
      </c>
      <c r="AU34" s="29">
        <f t="shared" si="10"/>
        <v>0</v>
      </c>
      <c r="AV34" s="28">
        <f t="shared" si="11"/>
        <v>0</v>
      </c>
      <c r="AW34" s="28" t="str">
        <f t="shared" si="12"/>
        <v/>
      </c>
      <c r="AX34" s="174" t="str">
        <f t="shared" si="13"/>
        <v/>
      </c>
      <c r="AY34" s="173">
        <f t="shared" si="14"/>
        <v>0</v>
      </c>
      <c r="AZ34" s="109">
        <f t="shared" si="14"/>
        <v>0</v>
      </c>
      <c r="BA34" s="109">
        <f t="shared" si="14"/>
        <v>0</v>
      </c>
      <c r="BB34" s="109">
        <f t="shared" si="14"/>
        <v>0</v>
      </c>
      <c r="BC34" s="109">
        <f t="shared" si="14"/>
        <v>0</v>
      </c>
      <c r="BD34" s="109">
        <f t="shared" si="14"/>
        <v>0</v>
      </c>
      <c r="BE34" s="109">
        <f t="shared" si="14"/>
        <v>0</v>
      </c>
      <c r="BF34" s="109">
        <f t="shared" si="14"/>
        <v>0</v>
      </c>
      <c r="BH34" s="16" t="str">
        <f t="shared" si="24"/>
        <v/>
      </c>
      <c r="BI34" s="16">
        <f t="shared" si="27"/>
        <v>0</v>
      </c>
    </row>
    <row r="35" spans="2:61" ht="20.100000000000001" customHeight="1" x14ac:dyDescent="0.3">
      <c r="B35" s="399"/>
      <c r="C35" s="400"/>
      <c r="D35" s="200"/>
      <c r="E35" s="201"/>
      <c r="F35" s="247"/>
      <c r="G35" s="248"/>
      <c r="H35" s="250" t="str">
        <f t="shared" si="2"/>
        <v/>
      </c>
      <c r="I35" s="203"/>
      <c r="J35" s="449" t="str">
        <f t="shared" si="3"/>
        <v/>
      </c>
      <c r="K35" s="450"/>
      <c r="L35" s="202"/>
      <c r="M35" s="322"/>
      <c r="N35" s="323"/>
      <c r="O35" s="202"/>
      <c r="P35" s="207" t="str">
        <f t="shared" si="4"/>
        <v/>
      </c>
      <c r="Q35" s="402"/>
      <c r="R35" s="403"/>
      <c r="S35" s="403"/>
      <c r="T35" s="370"/>
      <c r="U35" s="371"/>
      <c r="V35" s="284" t="str">
        <f t="shared" si="28"/>
        <v/>
      </c>
      <c r="W35" s="319"/>
      <c r="Y35" s="14"/>
      <c r="Z35" s="21" t="str">
        <f t="shared" ca="1" si="16"/>
        <v/>
      </c>
      <c r="AA35" s="21" t="str">
        <f t="shared" si="17"/>
        <v/>
      </c>
      <c r="AB35" s="21" t="str">
        <f t="shared" si="18"/>
        <v/>
      </c>
      <c r="AC35" s="21" t="str">
        <f t="shared" si="19"/>
        <v/>
      </c>
      <c r="AD35" s="21" t="str">
        <f t="shared" si="20"/>
        <v/>
      </c>
      <c r="AE35" s="21" t="str">
        <f t="shared" si="21"/>
        <v/>
      </c>
      <c r="AH35" s="16">
        <f t="shared" si="26"/>
        <v>0</v>
      </c>
      <c r="AI35" s="51">
        <f t="shared" si="22"/>
        <v>0</v>
      </c>
      <c r="AJ35" s="28">
        <f t="shared" si="6"/>
        <v>0</v>
      </c>
      <c r="AK35" s="109">
        <f t="shared" si="7"/>
        <v>0</v>
      </c>
      <c r="AL35" s="110">
        <f t="shared" si="23"/>
        <v>0</v>
      </c>
      <c r="AM35" s="261"/>
      <c r="AN35" s="261"/>
      <c r="AR35" s="16" t="str">
        <f t="shared" si="8"/>
        <v/>
      </c>
      <c r="AS35" s="16"/>
      <c r="AT35" s="16" t="str">
        <f t="shared" si="9"/>
        <v/>
      </c>
      <c r="AU35" s="29">
        <f t="shared" si="10"/>
        <v>0</v>
      </c>
      <c r="AV35" s="28">
        <f t="shared" si="11"/>
        <v>0</v>
      </c>
      <c r="AW35" s="28" t="str">
        <f t="shared" si="12"/>
        <v/>
      </c>
      <c r="AX35" s="174" t="str">
        <f t="shared" si="13"/>
        <v/>
      </c>
      <c r="AY35" s="173">
        <f t="shared" ref="AY35:BF41" si="29">IF(AY$10=$M35,$O35,0)</f>
        <v>0</v>
      </c>
      <c r="AZ35" s="109">
        <f t="shared" si="29"/>
        <v>0</v>
      </c>
      <c r="BA35" s="109">
        <f t="shared" si="29"/>
        <v>0</v>
      </c>
      <c r="BB35" s="109">
        <f t="shared" si="29"/>
        <v>0</v>
      </c>
      <c r="BC35" s="109">
        <f t="shared" si="29"/>
        <v>0</v>
      </c>
      <c r="BD35" s="109">
        <f t="shared" si="29"/>
        <v>0</v>
      </c>
      <c r="BE35" s="109">
        <f t="shared" si="29"/>
        <v>0</v>
      </c>
      <c r="BF35" s="109">
        <f t="shared" si="29"/>
        <v>0</v>
      </c>
      <c r="BH35" s="16" t="str">
        <f t="shared" si="24"/>
        <v/>
      </c>
      <c r="BI35" s="16">
        <f t="shared" si="27"/>
        <v>0</v>
      </c>
    </row>
    <row r="36" spans="2:61" ht="20.100000000000001" customHeight="1" x14ac:dyDescent="0.3">
      <c r="B36" s="399"/>
      <c r="C36" s="400"/>
      <c r="D36" s="200"/>
      <c r="E36" s="201"/>
      <c r="F36" s="247"/>
      <c r="G36" s="248"/>
      <c r="H36" s="250" t="str">
        <f t="shared" si="2"/>
        <v/>
      </c>
      <c r="I36" s="203"/>
      <c r="J36" s="449" t="str">
        <f t="shared" si="3"/>
        <v/>
      </c>
      <c r="K36" s="450"/>
      <c r="L36" s="202"/>
      <c r="M36" s="322"/>
      <c r="N36" s="323"/>
      <c r="O36" s="202"/>
      <c r="P36" s="207" t="str">
        <f t="shared" si="4"/>
        <v/>
      </c>
      <c r="Q36" s="402"/>
      <c r="R36" s="403"/>
      <c r="S36" s="403"/>
      <c r="T36" s="370"/>
      <c r="U36" s="371"/>
      <c r="V36" s="284" t="str">
        <f t="shared" si="28"/>
        <v/>
      </c>
      <c r="W36" s="319"/>
      <c r="Y36" s="14"/>
      <c r="Z36" s="21" t="str">
        <f t="shared" ca="1" si="16"/>
        <v/>
      </c>
      <c r="AA36" s="21" t="str">
        <f t="shared" si="17"/>
        <v/>
      </c>
      <c r="AB36" s="21" t="str">
        <f t="shared" si="18"/>
        <v/>
      </c>
      <c r="AC36" s="21" t="str">
        <f t="shared" si="19"/>
        <v/>
      </c>
      <c r="AD36" s="21" t="str">
        <f t="shared" si="20"/>
        <v/>
      </c>
      <c r="AE36" s="21" t="str">
        <f t="shared" si="21"/>
        <v/>
      </c>
      <c r="AH36" s="16">
        <f t="shared" si="26"/>
        <v>0</v>
      </c>
      <c r="AI36" s="51">
        <f t="shared" si="22"/>
        <v>0</v>
      </c>
      <c r="AJ36" s="28">
        <f t="shared" si="6"/>
        <v>0</v>
      </c>
      <c r="AK36" s="109">
        <f t="shared" si="7"/>
        <v>0</v>
      </c>
      <c r="AL36" s="110">
        <f t="shared" si="23"/>
        <v>0</v>
      </c>
      <c r="AM36" s="261"/>
      <c r="AN36" s="261"/>
      <c r="AR36" s="16" t="str">
        <f t="shared" si="8"/>
        <v/>
      </c>
      <c r="AS36" s="16"/>
      <c r="AT36" s="16" t="str">
        <f t="shared" si="9"/>
        <v/>
      </c>
      <c r="AU36" s="29">
        <f t="shared" si="10"/>
        <v>0</v>
      </c>
      <c r="AV36" s="28">
        <f t="shared" si="11"/>
        <v>0</v>
      </c>
      <c r="AW36" s="28" t="str">
        <f t="shared" si="12"/>
        <v/>
      </c>
      <c r="AX36" s="174" t="str">
        <f t="shared" si="13"/>
        <v/>
      </c>
      <c r="AY36" s="173">
        <f t="shared" si="29"/>
        <v>0</v>
      </c>
      <c r="AZ36" s="109">
        <f t="shared" si="29"/>
        <v>0</v>
      </c>
      <c r="BA36" s="109">
        <f t="shared" si="29"/>
        <v>0</v>
      </c>
      <c r="BB36" s="109">
        <f t="shared" si="29"/>
        <v>0</v>
      </c>
      <c r="BC36" s="109">
        <f t="shared" si="29"/>
        <v>0</v>
      </c>
      <c r="BD36" s="109">
        <f t="shared" si="29"/>
        <v>0</v>
      </c>
      <c r="BE36" s="109">
        <f t="shared" si="29"/>
        <v>0</v>
      </c>
      <c r="BF36" s="109">
        <f t="shared" si="29"/>
        <v>0</v>
      </c>
      <c r="BH36" s="16" t="str">
        <f t="shared" si="24"/>
        <v/>
      </c>
      <c r="BI36" s="16">
        <f t="shared" si="27"/>
        <v>0</v>
      </c>
    </row>
    <row r="37" spans="2:61" ht="20.100000000000001" customHeight="1" x14ac:dyDescent="0.3">
      <c r="B37" s="399"/>
      <c r="C37" s="400"/>
      <c r="D37" s="200"/>
      <c r="E37" s="201"/>
      <c r="F37" s="247"/>
      <c r="G37" s="248"/>
      <c r="H37" s="250" t="str">
        <f t="shared" si="2"/>
        <v/>
      </c>
      <c r="I37" s="203"/>
      <c r="J37" s="449" t="str">
        <f t="shared" si="3"/>
        <v/>
      </c>
      <c r="K37" s="450"/>
      <c r="L37" s="202"/>
      <c r="M37" s="322"/>
      <c r="N37" s="323"/>
      <c r="O37" s="202"/>
      <c r="P37" s="207" t="str">
        <f t="shared" si="4"/>
        <v/>
      </c>
      <c r="Q37" s="402"/>
      <c r="R37" s="403"/>
      <c r="S37" s="403"/>
      <c r="T37" s="370"/>
      <c r="U37" s="371"/>
      <c r="V37" s="284" t="str">
        <f t="shared" si="28"/>
        <v/>
      </c>
      <c r="W37" s="319"/>
      <c r="Y37" s="14"/>
      <c r="Z37" s="21" t="str">
        <f t="shared" ca="1" si="16"/>
        <v/>
      </c>
      <c r="AA37" s="21" t="str">
        <f t="shared" si="17"/>
        <v/>
      </c>
      <c r="AB37" s="21" t="str">
        <f t="shared" si="18"/>
        <v/>
      </c>
      <c r="AC37" s="21" t="str">
        <f t="shared" si="19"/>
        <v/>
      </c>
      <c r="AD37" s="21" t="str">
        <f t="shared" si="20"/>
        <v/>
      </c>
      <c r="AE37" s="21" t="str">
        <f t="shared" si="21"/>
        <v/>
      </c>
      <c r="AH37" s="16">
        <f t="shared" si="26"/>
        <v>0</v>
      </c>
      <c r="AI37" s="51">
        <f t="shared" si="22"/>
        <v>0</v>
      </c>
      <c r="AJ37" s="28">
        <f t="shared" si="6"/>
        <v>0</v>
      </c>
      <c r="AK37" s="109">
        <f t="shared" si="7"/>
        <v>0</v>
      </c>
      <c r="AL37" s="110">
        <f t="shared" si="23"/>
        <v>0</v>
      </c>
      <c r="AM37" s="261"/>
      <c r="AN37" s="261"/>
      <c r="AR37" s="16" t="str">
        <f t="shared" si="8"/>
        <v/>
      </c>
      <c r="AS37" s="16"/>
      <c r="AT37" s="16" t="str">
        <f t="shared" si="9"/>
        <v/>
      </c>
      <c r="AU37" s="29">
        <f t="shared" si="10"/>
        <v>0</v>
      </c>
      <c r="AV37" s="28">
        <f t="shared" si="11"/>
        <v>0</v>
      </c>
      <c r="AW37" s="28" t="str">
        <f t="shared" si="12"/>
        <v/>
      </c>
      <c r="AX37" s="174" t="str">
        <f t="shared" si="13"/>
        <v/>
      </c>
      <c r="AY37" s="173">
        <f t="shared" si="29"/>
        <v>0</v>
      </c>
      <c r="AZ37" s="109">
        <f t="shared" si="29"/>
        <v>0</v>
      </c>
      <c r="BA37" s="109">
        <f t="shared" si="29"/>
        <v>0</v>
      </c>
      <c r="BB37" s="109">
        <f t="shared" si="29"/>
        <v>0</v>
      </c>
      <c r="BC37" s="109">
        <f t="shared" si="29"/>
        <v>0</v>
      </c>
      <c r="BD37" s="109">
        <f t="shared" si="29"/>
        <v>0</v>
      </c>
      <c r="BE37" s="109">
        <f t="shared" si="29"/>
        <v>0</v>
      </c>
      <c r="BF37" s="109">
        <f t="shared" si="29"/>
        <v>0</v>
      </c>
      <c r="BH37" s="16" t="str">
        <f t="shared" si="24"/>
        <v/>
      </c>
      <c r="BI37" s="16">
        <f t="shared" si="27"/>
        <v>0</v>
      </c>
    </row>
    <row r="38" spans="2:61" ht="20.100000000000001" customHeight="1" x14ac:dyDescent="0.3">
      <c r="B38" s="399"/>
      <c r="C38" s="400"/>
      <c r="D38" s="200"/>
      <c r="E38" s="201"/>
      <c r="F38" s="247"/>
      <c r="G38" s="248"/>
      <c r="H38" s="250" t="str">
        <f t="shared" si="2"/>
        <v/>
      </c>
      <c r="I38" s="203"/>
      <c r="J38" s="449" t="str">
        <f t="shared" si="3"/>
        <v/>
      </c>
      <c r="K38" s="450"/>
      <c r="L38" s="202"/>
      <c r="M38" s="322"/>
      <c r="N38" s="323"/>
      <c r="O38" s="202"/>
      <c r="P38" s="207" t="str">
        <f t="shared" si="4"/>
        <v/>
      </c>
      <c r="Q38" s="402"/>
      <c r="R38" s="403"/>
      <c r="S38" s="403"/>
      <c r="T38" s="370"/>
      <c r="U38" s="371"/>
      <c r="V38" s="284" t="str">
        <f t="shared" si="28"/>
        <v/>
      </c>
      <c r="W38" s="319"/>
      <c r="Y38" s="14"/>
      <c r="Z38" s="21" t="str">
        <f t="shared" ca="1" si="16"/>
        <v/>
      </c>
      <c r="AA38" s="21" t="str">
        <f t="shared" si="17"/>
        <v/>
      </c>
      <c r="AB38" s="21" t="str">
        <f t="shared" si="18"/>
        <v/>
      </c>
      <c r="AC38" s="21" t="str">
        <f t="shared" si="19"/>
        <v/>
      </c>
      <c r="AD38" s="21" t="str">
        <f t="shared" si="20"/>
        <v/>
      </c>
      <c r="AE38" s="21" t="str">
        <f t="shared" si="21"/>
        <v/>
      </c>
      <c r="AH38" s="16">
        <f t="shared" si="26"/>
        <v>0</v>
      </c>
      <c r="AI38" s="51">
        <f t="shared" si="22"/>
        <v>0</v>
      </c>
      <c r="AJ38" s="28">
        <f t="shared" si="6"/>
        <v>0</v>
      </c>
      <c r="AK38" s="109">
        <f t="shared" si="7"/>
        <v>0</v>
      </c>
      <c r="AL38" s="110">
        <f t="shared" si="23"/>
        <v>0</v>
      </c>
      <c r="AM38" s="261"/>
      <c r="AN38" s="261"/>
      <c r="AR38" s="16" t="str">
        <f t="shared" si="8"/>
        <v/>
      </c>
      <c r="AS38" s="16"/>
      <c r="AT38" s="16" t="str">
        <f t="shared" si="9"/>
        <v/>
      </c>
      <c r="AU38" s="29">
        <f t="shared" si="10"/>
        <v>0</v>
      </c>
      <c r="AV38" s="28">
        <f t="shared" si="11"/>
        <v>0</v>
      </c>
      <c r="AW38" s="28" t="str">
        <f t="shared" si="12"/>
        <v/>
      </c>
      <c r="AX38" s="174" t="str">
        <f t="shared" si="13"/>
        <v/>
      </c>
      <c r="AY38" s="173">
        <f t="shared" si="29"/>
        <v>0</v>
      </c>
      <c r="AZ38" s="109">
        <f t="shared" si="29"/>
        <v>0</v>
      </c>
      <c r="BA38" s="109">
        <f t="shared" si="29"/>
        <v>0</v>
      </c>
      <c r="BB38" s="109">
        <f t="shared" si="29"/>
        <v>0</v>
      </c>
      <c r="BC38" s="109">
        <f t="shared" si="29"/>
        <v>0</v>
      </c>
      <c r="BD38" s="109">
        <f t="shared" si="29"/>
        <v>0</v>
      </c>
      <c r="BE38" s="109">
        <f t="shared" si="29"/>
        <v>0</v>
      </c>
      <c r="BF38" s="109">
        <f t="shared" si="29"/>
        <v>0</v>
      </c>
      <c r="BH38" s="16" t="str">
        <f t="shared" si="24"/>
        <v/>
      </c>
      <c r="BI38" s="16">
        <f t="shared" si="27"/>
        <v>0</v>
      </c>
    </row>
    <row r="39" spans="2:61" ht="20.100000000000001" customHeight="1" x14ac:dyDescent="0.3">
      <c r="B39" s="399"/>
      <c r="C39" s="400"/>
      <c r="D39" s="200"/>
      <c r="E39" s="201"/>
      <c r="F39" s="247"/>
      <c r="G39" s="248"/>
      <c r="H39" s="250" t="str">
        <f t="shared" si="2"/>
        <v/>
      </c>
      <c r="I39" s="203"/>
      <c r="J39" s="449" t="str">
        <f t="shared" si="3"/>
        <v/>
      </c>
      <c r="K39" s="450"/>
      <c r="L39" s="202"/>
      <c r="M39" s="322"/>
      <c r="N39" s="323"/>
      <c r="O39" s="202"/>
      <c r="P39" s="207" t="str">
        <f t="shared" si="4"/>
        <v/>
      </c>
      <c r="Q39" s="402"/>
      <c r="R39" s="403"/>
      <c r="S39" s="403"/>
      <c r="T39" s="370"/>
      <c r="U39" s="371"/>
      <c r="V39" s="284" t="str">
        <f t="shared" si="28"/>
        <v/>
      </c>
      <c r="W39" s="319"/>
      <c r="Y39" s="14"/>
      <c r="Z39" s="21" t="str">
        <f t="shared" ca="1" si="16"/>
        <v/>
      </c>
      <c r="AA39" s="21" t="str">
        <f t="shared" si="17"/>
        <v/>
      </c>
      <c r="AB39" s="21" t="str">
        <f t="shared" si="18"/>
        <v/>
      </c>
      <c r="AC39" s="21" t="str">
        <f t="shared" si="19"/>
        <v/>
      </c>
      <c r="AD39" s="21" t="str">
        <f t="shared" si="20"/>
        <v/>
      </c>
      <c r="AE39" s="21" t="str">
        <f t="shared" si="21"/>
        <v/>
      </c>
      <c r="AH39" s="16">
        <f t="shared" si="26"/>
        <v>0</v>
      </c>
      <c r="AI39" s="51">
        <f t="shared" si="22"/>
        <v>0</v>
      </c>
      <c r="AJ39" s="28">
        <f t="shared" si="6"/>
        <v>0</v>
      </c>
      <c r="AK39" s="109">
        <f t="shared" si="7"/>
        <v>0</v>
      </c>
      <c r="AL39" s="110">
        <f t="shared" si="23"/>
        <v>0</v>
      </c>
      <c r="AM39" s="261"/>
      <c r="AN39" s="261"/>
      <c r="AR39" s="16" t="str">
        <f t="shared" si="8"/>
        <v/>
      </c>
      <c r="AS39" s="16"/>
      <c r="AT39" s="16" t="str">
        <f t="shared" si="9"/>
        <v/>
      </c>
      <c r="AU39" s="29">
        <f t="shared" si="10"/>
        <v>0</v>
      </c>
      <c r="AV39" s="28">
        <f t="shared" si="11"/>
        <v>0</v>
      </c>
      <c r="AW39" s="28" t="str">
        <f t="shared" si="12"/>
        <v/>
      </c>
      <c r="AX39" s="174" t="str">
        <f t="shared" si="13"/>
        <v/>
      </c>
      <c r="AY39" s="173">
        <f t="shared" si="29"/>
        <v>0</v>
      </c>
      <c r="AZ39" s="109">
        <f t="shared" si="29"/>
        <v>0</v>
      </c>
      <c r="BA39" s="109">
        <f t="shared" si="29"/>
        <v>0</v>
      </c>
      <c r="BB39" s="109">
        <f t="shared" si="29"/>
        <v>0</v>
      </c>
      <c r="BC39" s="109">
        <f t="shared" si="29"/>
        <v>0</v>
      </c>
      <c r="BD39" s="109">
        <f t="shared" si="29"/>
        <v>0</v>
      </c>
      <c r="BE39" s="109">
        <f t="shared" si="29"/>
        <v>0</v>
      </c>
      <c r="BF39" s="109">
        <f t="shared" si="29"/>
        <v>0</v>
      </c>
      <c r="BH39" s="16" t="str">
        <f t="shared" si="24"/>
        <v/>
      </c>
      <c r="BI39" s="16">
        <f t="shared" si="27"/>
        <v>0</v>
      </c>
    </row>
    <row r="40" spans="2:61" ht="20.100000000000001" customHeight="1" x14ac:dyDescent="0.3">
      <c r="B40" s="399"/>
      <c r="C40" s="400"/>
      <c r="D40" s="200"/>
      <c r="E40" s="201"/>
      <c r="F40" s="247"/>
      <c r="G40" s="248"/>
      <c r="H40" s="250" t="str">
        <f t="shared" si="2"/>
        <v/>
      </c>
      <c r="I40" s="203"/>
      <c r="J40" s="449" t="str">
        <f t="shared" si="3"/>
        <v/>
      </c>
      <c r="K40" s="450"/>
      <c r="L40" s="202"/>
      <c r="M40" s="322"/>
      <c r="N40" s="323"/>
      <c r="O40" s="202"/>
      <c r="P40" s="207" t="str">
        <f t="shared" si="4"/>
        <v/>
      </c>
      <c r="Q40" s="402"/>
      <c r="R40" s="403"/>
      <c r="S40" s="403"/>
      <c r="T40" s="370"/>
      <c r="U40" s="371"/>
      <c r="V40" s="284" t="str">
        <f t="shared" si="28"/>
        <v/>
      </c>
      <c r="W40" s="319"/>
      <c r="Y40" s="14"/>
      <c r="Z40" s="21" t="str">
        <f t="shared" ca="1" si="16"/>
        <v/>
      </c>
      <c r="AA40" s="21" t="str">
        <f t="shared" si="17"/>
        <v/>
      </c>
      <c r="AB40" s="21" t="str">
        <f t="shared" si="18"/>
        <v/>
      </c>
      <c r="AC40" s="21" t="str">
        <f t="shared" si="19"/>
        <v/>
      </c>
      <c r="AD40" s="21" t="str">
        <f t="shared" si="20"/>
        <v/>
      </c>
      <c r="AE40" s="21" t="str">
        <f t="shared" si="21"/>
        <v/>
      </c>
      <c r="AH40" s="16">
        <f t="shared" si="26"/>
        <v>0</v>
      </c>
      <c r="AI40" s="51">
        <f t="shared" si="22"/>
        <v>0</v>
      </c>
      <c r="AJ40" s="28">
        <f t="shared" si="6"/>
        <v>0</v>
      </c>
      <c r="AK40" s="109">
        <f t="shared" si="7"/>
        <v>0</v>
      </c>
      <c r="AL40" s="110">
        <f t="shared" si="23"/>
        <v>0</v>
      </c>
      <c r="AM40" s="261"/>
      <c r="AN40" s="261"/>
      <c r="AR40" s="16" t="str">
        <f t="shared" si="8"/>
        <v/>
      </c>
      <c r="AS40" s="16"/>
      <c r="AT40" s="16" t="str">
        <f t="shared" si="9"/>
        <v/>
      </c>
      <c r="AU40" s="29">
        <f t="shared" si="10"/>
        <v>0</v>
      </c>
      <c r="AV40" s="28">
        <f t="shared" si="11"/>
        <v>0</v>
      </c>
      <c r="AW40" s="28" t="str">
        <f t="shared" si="12"/>
        <v/>
      </c>
      <c r="AX40" s="174" t="str">
        <f t="shared" si="13"/>
        <v/>
      </c>
      <c r="AY40" s="173">
        <f t="shared" si="29"/>
        <v>0</v>
      </c>
      <c r="AZ40" s="109">
        <f t="shared" si="29"/>
        <v>0</v>
      </c>
      <c r="BA40" s="109">
        <f t="shared" si="29"/>
        <v>0</v>
      </c>
      <c r="BB40" s="109">
        <f t="shared" si="29"/>
        <v>0</v>
      </c>
      <c r="BC40" s="109">
        <f t="shared" si="29"/>
        <v>0</v>
      </c>
      <c r="BD40" s="109">
        <f t="shared" si="29"/>
        <v>0</v>
      </c>
      <c r="BE40" s="109">
        <f t="shared" si="29"/>
        <v>0</v>
      </c>
      <c r="BF40" s="109">
        <f t="shared" si="29"/>
        <v>0</v>
      </c>
      <c r="BH40" s="16" t="str">
        <f t="shared" si="24"/>
        <v/>
      </c>
      <c r="BI40" s="16">
        <f t="shared" si="27"/>
        <v>0</v>
      </c>
    </row>
    <row r="41" spans="2:61" ht="20.100000000000001" customHeight="1" x14ac:dyDescent="0.3">
      <c r="B41" s="399"/>
      <c r="C41" s="400"/>
      <c r="D41" s="200"/>
      <c r="E41" s="201"/>
      <c r="F41" s="247"/>
      <c r="G41" s="248"/>
      <c r="H41" s="250" t="str">
        <f t="shared" si="2"/>
        <v/>
      </c>
      <c r="I41" s="203"/>
      <c r="J41" s="449" t="str">
        <f t="shared" si="3"/>
        <v/>
      </c>
      <c r="K41" s="450"/>
      <c r="L41" s="202"/>
      <c r="M41" s="322"/>
      <c r="N41" s="323"/>
      <c r="O41" s="202"/>
      <c r="P41" s="207" t="str">
        <f t="shared" si="4"/>
        <v/>
      </c>
      <c r="Q41" s="402"/>
      <c r="R41" s="403"/>
      <c r="S41" s="403"/>
      <c r="T41" s="370"/>
      <c r="U41" s="371"/>
      <c r="V41" s="284" t="str">
        <f t="shared" si="28"/>
        <v/>
      </c>
      <c r="W41" s="319"/>
      <c r="Y41" s="14"/>
      <c r="Z41" s="21" t="str">
        <f t="shared" ca="1" si="16"/>
        <v/>
      </c>
      <c r="AA41" s="21" t="str">
        <f t="shared" si="17"/>
        <v/>
      </c>
      <c r="AB41" s="21" t="str">
        <f t="shared" si="18"/>
        <v/>
      </c>
      <c r="AC41" s="21" t="str">
        <f t="shared" si="19"/>
        <v/>
      </c>
      <c r="AD41" s="21" t="str">
        <f t="shared" si="20"/>
        <v/>
      </c>
      <c r="AE41" s="21" t="str">
        <f t="shared" si="21"/>
        <v/>
      </c>
      <c r="AH41" s="16">
        <f t="shared" si="26"/>
        <v>0</v>
      </c>
      <c r="AI41" s="51">
        <f t="shared" si="22"/>
        <v>0</v>
      </c>
      <c r="AJ41" s="28">
        <f t="shared" si="6"/>
        <v>0</v>
      </c>
      <c r="AK41" s="109">
        <f t="shared" si="7"/>
        <v>0</v>
      </c>
      <c r="AL41" s="110">
        <f t="shared" si="23"/>
        <v>0</v>
      </c>
      <c r="AM41" s="261"/>
      <c r="AN41" s="261"/>
      <c r="AR41" s="16" t="str">
        <f t="shared" si="8"/>
        <v/>
      </c>
      <c r="AS41" s="16"/>
      <c r="AT41" s="16" t="str">
        <f t="shared" si="9"/>
        <v/>
      </c>
      <c r="AU41" s="29">
        <f t="shared" si="10"/>
        <v>0</v>
      </c>
      <c r="AV41" s="28">
        <f t="shared" si="11"/>
        <v>0</v>
      </c>
      <c r="AW41" s="28" t="str">
        <f t="shared" si="12"/>
        <v/>
      </c>
      <c r="AX41" s="174" t="str">
        <f t="shared" si="13"/>
        <v/>
      </c>
      <c r="AY41" s="173">
        <f t="shared" si="29"/>
        <v>0</v>
      </c>
      <c r="AZ41" s="109">
        <f t="shared" si="29"/>
        <v>0</v>
      </c>
      <c r="BA41" s="109">
        <f t="shared" si="29"/>
        <v>0</v>
      </c>
      <c r="BB41" s="109">
        <f t="shared" si="29"/>
        <v>0</v>
      </c>
      <c r="BC41" s="109">
        <f t="shared" si="29"/>
        <v>0</v>
      </c>
      <c r="BD41" s="109">
        <f t="shared" si="29"/>
        <v>0</v>
      </c>
      <c r="BE41" s="109">
        <f t="shared" si="29"/>
        <v>0</v>
      </c>
      <c r="BF41" s="109">
        <f t="shared" si="29"/>
        <v>0</v>
      </c>
      <c r="BH41" s="16" t="str">
        <f t="shared" si="24"/>
        <v/>
      </c>
      <c r="BI41" s="16">
        <f t="shared" si="27"/>
        <v>0</v>
      </c>
    </row>
    <row r="42" spans="2:61" ht="20.100000000000001" customHeight="1" x14ac:dyDescent="0.3">
      <c r="B42" s="354" t="s">
        <v>53</v>
      </c>
      <c r="C42" s="355"/>
      <c r="D42" s="355"/>
      <c r="E42" s="355"/>
      <c r="F42" s="356"/>
      <c r="G42" s="170" t="str">
        <f>IF(SUM(G19:G41)=0,"",SUM(G19:G41))</f>
        <v/>
      </c>
      <c r="H42" s="170" t="str">
        <f>IF(COUNT(B19:C41)=0,"",SUM(H19:H41))</f>
        <v/>
      </c>
      <c r="I42" s="171" t="str">
        <f>IF(SUM(I19:I41)=0,"",SUM(I19:I41))</f>
        <v/>
      </c>
      <c r="J42" s="487" t="str">
        <f>IF(SUM(J19:K41)=0,"",SUM(J19:K41))</f>
        <v/>
      </c>
      <c r="K42" s="488"/>
      <c r="L42" s="208" t="str">
        <f>IF(SUM(L19:L41)=0,"",SUM(L19:L41))</f>
        <v/>
      </c>
      <c r="M42" s="489"/>
      <c r="N42" s="490"/>
      <c r="O42" s="209" t="str">
        <f>IF(SUM(O19:O41)=0,"",SUM(O19:O41))</f>
        <v/>
      </c>
      <c r="P42" s="210" t="str">
        <f>IF(SUM(P19:P41)=0,"",SUM(P19:P41))</f>
        <v/>
      </c>
      <c r="Q42" s="372"/>
      <c r="R42" s="485"/>
      <c r="S42" s="486"/>
      <c r="T42" s="372"/>
      <c r="U42" s="373"/>
      <c r="V42" s="465"/>
      <c r="W42" s="466"/>
      <c r="Y42" s="14"/>
      <c r="Z42" s="267">
        <f ca="1">MIN(Z6:Z17,Z19:AE41)</f>
        <v>1</v>
      </c>
      <c r="AA42" s="376" t="s">
        <v>12</v>
      </c>
      <c r="AB42" s="377"/>
      <c r="AC42" s="377"/>
      <c r="AD42" s="377"/>
      <c r="AE42" s="377"/>
      <c r="AF42" s="268"/>
      <c r="AG42" s="166"/>
      <c r="AH42" s="27">
        <f>SUM(AH19:AH41)</f>
        <v>8</v>
      </c>
      <c r="AI42" s="369" t="s">
        <v>54</v>
      </c>
      <c r="AJ42" s="369"/>
      <c r="AK42" s="369"/>
    </row>
    <row r="43" spans="2:61" ht="6" customHeight="1" x14ac:dyDescent="0.3">
      <c r="B43" s="160"/>
      <c r="C43" s="161"/>
      <c r="D43" s="161"/>
      <c r="E43" s="161"/>
      <c r="F43" s="161"/>
      <c r="G43" s="16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2"/>
      <c r="S43" s="212"/>
      <c r="T43" s="212"/>
      <c r="U43" s="161"/>
      <c r="V43" s="161"/>
      <c r="W43" s="213"/>
      <c r="Y43" s="14"/>
      <c r="AA43" s="378"/>
      <c r="AB43" s="379"/>
      <c r="AC43" s="379"/>
      <c r="AD43" s="379"/>
      <c r="AE43" s="379"/>
      <c r="AF43" s="268"/>
      <c r="AH43" s="14"/>
      <c r="AI43" s="22"/>
      <c r="AJ43" s="19"/>
    </row>
    <row r="44" spans="2:61" ht="22.05" customHeight="1" x14ac:dyDescent="0.3">
      <c r="B44" s="349" t="s">
        <v>55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Y44" s="14"/>
      <c r="AA44" s="266"/>
      <c r="AB44" s="266"/>
      <c r="AC44" s="266"/>
      <c r="AD44" s="266"/>
      <c r="AE44" s="266"/>
      <c r="AF44" s="266"/>
      <c r="AH44" s="313" t="s">
        <v>38</v>
      </c>
      <c r="AI44" s="313"/>
      <c r="AJ44" s="313"/>
      <c r="AK44" s="313"/>
    </row>
    <row r="45" spans="2:61" ht="15" customHeight="1" x14ac:dyDescent="0.3">
      <c r="B45" s="468" t="s">
        <v>56</v>
      </c>
      <c r="C45" s="469"/>
      <c r="D45" s="469"/>
      <c r="E45" s="469"/>
      <c r="F45" s="469"/>
      <c r="G45" s="390" t="s">
        <v>10</v>
      </c>
      <c r="H45" s="390"/>
      <c r="I45" s="380" t="s">
        <v>57</v>
      </c>
      <c r="J45" s="381"/>
      <c r="K45" s="381"/>
      <c r="L45" s="381"/>
      <c r="M45" s="381"/>
      <c r="N45" s="214" t="s">
        <v>10</v>
      </c>
      <c r="O45" s="380" t="s">
        <v>57</v>
      </c>
      <c r="P45" s="381"/>
      <c r="Q45" s="381"/>
      <c r="R45" s="214" t="s">
        <v>10</v>
      </c>
      <c r="S45" s="380" t="s">
        <v>57</v>
      </c>
      <c r="T45" s="381"/>
      <c r="U45" s="381"/>
      <c r="V45" s="390" t="s">
        <v>10</v>
      </c>
      <c r="W45" s="391"/>
      <c r="Y45" s="14"/>
      <c r="Z45" s="23"/>
      <c r="AA45" s="166"/>
      <c r="AB45" s="166"/>
      <c r="AC45" s="166"/>
      <c r="AD45" s="166"/>
      <c r="AE45" s="166"/>
      <c r="AF45" s="166"/>
      <c r="AG45" s="166"/>
      <c r="AH45" s="16" t="s">
        <v>58</v>
      </c>
      <c r="AI45" s="52">
        <f>B62</f>
        <v>0.33333333333333331</v>
      </c>
      <c r="AJ45" s="53">
        <f>$H$62</f>
        <v>12</v>
      </c>
      <c r="AK45" s="29" t="s">
        <v>42</v>
      </c>
      <c r="AP45" s="484" t="s">
        <v>149</v>
      </c>
      <c r="AQ45" s="14"/>
      <c r="AR45" s="484" t="s">
        <v>150</v>
      </c>
      <c r="AU45" s="29" t="s">
        <v>41</v>
      </c>
      <c r="AV45" s="28">
        <f>SUM(AV47:AV52)</f>
        <v>0</v>
      </c>
      <c r="AW45" s="28">
        <f t="shared" ref="AW45:BF45" si="30">SUM(AW47:AW52)</f>
        <v>0</v>
      </c>
      <c r="AX45" s="28">
        <f>SUM(AX47:AX52)</f>
        <v>0</v>
      </c>
      <c r="AY45" s="28">
        <f t="shared" si="30"/>
        <v>0</v>
      </c>
      <c r="AZ45" s="28">
        <f t="shared" si="30"/>
        <v>0</v>
      </c>
      <c r="BA45" s="28">
        <f t="shared" si="30"/>
        <v>0</v>
      </c>
      <c r="BB45" s="28">
        <f t="shared" si="30"/>
        <v>0</v>
      </c>
      <c r="BC45" s="28">
        <f t="shared" si="30"/>
        <v>0</v>
      </c>
      <c r="BD45" s="28">
        <f t="shared" si="30"/>
        <v>0</v>
      </c>
      <c r="BE45" s="28">
        <f t="shared" si="30"/>
        <v>0</v>
      </c>
      <c r="BF45" s="28">
        <f t="shared" si="30"/>
        <v>0</v>
      </c>
      <c r="BG45" s="29"/>
      <c r="BH45" s="28">
        <f>SUM(BH47:BH52)</f>
        <v>0</v>
      </c>
    </row>
    <row r="46" spans="2:61" ht="15" customHeight="1" x14ac:dyDescent="0.3">
      <c r="B46" s="149" t="s">
        <v>48</v>
      </c>
      <c r="C46" s="470" t="s">
        <v>47</v>
      </c>
      <c r="D46" s="471"/>
      <c r="E46" s="471"/>
      <c r="F46" s="472"/>
      <c r="G46" s="388" t="s">
        <v>50</v>
      </c>
      <c r="H46" s="389"/>
      <c r="I46" s="386" t="s">
        <v>48</v>
      </c>
      <c r="J46" s="387"/>
      <c r="K46" s="65" t="s">
        <v>47</v>
      </c>
      <c r="L46" s="215"/>
      <c r="M46" s="215"/>
      <c r="N46" s="216" t="s">
        <v>50</v>
      </c>
      <c r="O46" s="217" t="s">
        <v>48</v>
      </c>
      <c r="P46" s="218" t="s">
        <v>47</v>
      </c>
      <c r="Q46" s="215"/>
      <c r="R46" s="216" t="s">
        <v>50</v>
      </c>
      <c r="S46" s="386" t="s">
        <v>48</v>
      </c>
      <c r="T46" s="387"/>
      <c r="U46" s="219" t="s">
        <v>47</v>
      </c>
      <c r="V46" s="388" t="s">
        <v>50</v>
      </c>
      <c r="W46" s="389"/>
      <c r="Y46" s="14"/>
      <c r="AH46" s="16" t="s">
        <v>58</v>
      </c>
      <c r="AI46" s="52">
        <f>B63</f>
        <v>0.58333333333333337</v>
      </c>
      <c r="AJ46" s="53">
        <f>$H$63</f>
        <v>12</v>
      </c>
      <c r="AK46" s="29" t="s">
        <v>49</v>
      </c>
      <c r="AP46" s="484"/>
      <c r="AQ46" s="14"/>
      <c r="AR46" s="484"/>
      <c r="BH46" s="16" t="s">
        <v>41</v>
      </c>
    </row>
    <row r="47" spans="2:61" ht="20.100000000000001" customHeight="1" x14ac:dyDescent="0.3">
      <c r="B47" s="333" t="str">
        <f>$AT$47</f>
        <v/>
      </c>
      <c r="C47" s="327" t="str">
        <f>$AU$47</f>
        <v/>
      </c>
      <c r="D47" s="328"/>
      <c r="E47" s="328"/>
      <c r="F47" s="329"/>
      <c r="G47" s="335" t="str">
        <f>IF(B47="","",$BH$47)</f>
        <v/>
      </c>
      <c r="H47" s="336"/>
      <c r="I47" s="382" t="str">
        <f>IF(OR(B$47="",BH56&lt;1),"",VLOOKUP(1,AX$77:BB$87,2,FALSE))</f>
        <v/>
      </c>
      <c r="J47" s="383"/>
      <c r="K47" s="384" t="str">
        <f>IF(OR(B$47="",BH56&lt;1),"",VLOOKUP(1,AX$77:BB$87,3,FALSE))</f>
        <v/>
      </c>
      <c r="L47" s="467"/>
      <c r="M47" s="385"/>
      <c r="N47" s="220" t="str">
        <f>IF(OR(B$47="",BH56&lt;1),"",VLOOKUP(1,AX$77:BB$87,5,FALSE))</f>
        <v/>
      </c>
      <c r="O47" s="221" t="str">
        <f>IF(OR(B$47="",BH56&lt;3),"",VLOOKUP(3,AX$77:BB$87,2,FALSE))</f>
        <v/>
      </c>
      <c r="P47" s="384" t="str">
        <f>IF(OR(B$47="",BH56&lt;3),"",VLOOKUP(3,AX$77:BB$87,3,FALSE))</f>
        <v/>
      </c>
      <c r="Q47" s="385"/>
      <c r="R47" s="222" t="str">
        <f>IF(OR(B$47="",BH56&lt;3),"",VLOOKUP(3,AX$77:BB$87,5,FALSE))</f>
        <v/>
      </c>
      <c r="S47" s="382" t="str">
        <f>IF(OR(B$47="",BH56&lt;5),"",VLOOKUP(5,AX$77:BB$87,2,FALSE))</f>
        <v/>
      </c>
      <c r="T47" s="383"/>
      <c r="U47" s="223" t="str">
        <f>IF(OR(B$47="",BH56&lt;5),"",VLOOKUP(5,AX$77:BB$87,3,FALSE))</f>
        <v/>
      </c>
      <c r="V47" s="394" t="str">
        <f>IF(OR(B$47="",BH56&lt;5),"",VLOOKUP(5,AX$77:BB$87,5,FALSE))</f>
        <v/>
      </c>
      <c r="W47" s="395"/>
      <c r="Y47" s="14"/>
      <c r="AH47" s="16" t="s">
        <v>58</v>
      </c>
      <c r="AI47" s="52">
        <f>E64</f>
        <v>1</v>
      </c>
      <c r="AJ47" s="53">
        <f>$H$64</f>
        <v>24</v>
      </c>
      <c r="AP47" s="176">
        <v>1</v>
      </c>
      <c r="AQ47" s="16">
        <v>1</v>
      </c>
      <c r="AR47" s="176">
        <f>IF(AQ48=0,0,AQ47)</f>
        <v>0</v>
      </c>
      <c r="AT47" s="16" t="str">
        <f t="shared" ref="AT47" si="31">IF(AR47=0,"",VLOOKUP(AR47,AR19:AT41,3,FALSE))</f>
        <v/>
      </c>
      <c r="AU47" s="16" t="str">
        <f>IF(AR47=0,"",VLOOKUP(AR47,AR19:AU41,4,FALSE))</f>
        <v/>
      </c>
      <c r="AV47" s="28">
        <f t="shared" ref="AV47:BC47" si="32">SUMIF($AR$19:$AR$41,$AR47,AV$19:AV$41)</f>
        <v>0</v>
      </c>
      <c r="AW47" s="28">
        <f t="shared" si="32"/>
        <v>0</v>
      </c>
      <c r="AX47" s="174">
        <f t="shared" si="32"/>
        <v>0</v>
      </c>
      <c r="AY47" s="175">
        <f>SUMIF($AR$19:$AR$41,$AR47,AY$19:AY$41)</f>
        <v>0</v>
      </c>
      <c r="AZ47" s="28">
        <f t="shared" si="32"/>
        <v>0</v>
      </c>
      <c r="BA47" s="28">
        <f t="shared" si="32"/>
        <v>0</v>
      </c>
      <c r="BB47" s="28">
        <f t="shared" si="32"/>
        <v>0</v>
      </c>
      <c r="BC47" s="28">
        <f t="shared" si="32"/>
        <v>0</v>
      </c>
      <c r="BD47" s="28">
        <f t="shared" ref="BD47:BD52" si="33">SUMIF($AR$19:$AR$41,$MQ47,BD$19:BD$41)</f>
        <v>0</v>
      </c>
      <c r="BE47" s="28">
        <f>SUMIF($AR$19:$AR$41,$AR47,BE$19:BE$41)</f>
        <v>0</v>
      </c>
      <c r="BF47" s="28">
        <f>SUMIF($AR$19:$AR$41,$AR47,BF$19:BF$41)</f>
        <v>0</v>
      </c>
      <c r="BH47" s="28">
        <f t="shared" ref="BH47:BH52" si="34">SUM(AV47:BF47)</f>
        <v>0</v>
      </c>
    </row>
    <row r="48" spans="2:61" ht="20.100000000000001" customHeight="1" x14ac:dyDescent="0.3">
      <c r="B48" s="334"/>
      <c r="C48" s="330"/>
      <c r="D48" s="331"/>
      <c r="E48" s="331"/>
      <c r="F48" s="332"/>
      <c r="G48" s="337"/>
      <c r="H48" s="338"/>
      <c r="I48" s="320" t="str">
        <f>IF(OR(B$47="",BH56&lt;2),"",VLOOKUP(2,AX$77:BB$87,2,FALSE))</f>
        <v/>
      </c>
      <c r="J48" s="321"/>
      <c r="K48" s="357" t="str">
        <f>IF(OR(B$47="",BH56&lt;2),"",VLOOKUP(2,AX$77:BB$87,3,FALSE))</f>
        <v/>
      </c>
      <c r="L48" s="452"/>
      <c r="M48" s="358"/>
      <c r="N48" s="224" t="str">
        <f>IF(OR(B$47="",BH56&lt;2),"",VLOOKUP(2,AX$77:BB$87,5,FALSE))</f>
        <v/>
      </c>
      <c r="O48" s="225" t="str">
        <f>IF(OR(B$47="",BH56&lt;4),"",VLOOKUP(4,AX$77:BB$87,2,FALSE))</f>
        <v/>
      </c>
      <c r="P48" s="357" t="str">
        <f>IF(OR(B$47="",BH56&lt;4),"",VLOOKUP(4,AX$77:BB$87,3,FALSE))</f>
        <v/>
      </c>
      <c r="Q48" s="358"/>
      <c r="R48" s="226" t="str">
        <f>IF(OR(B$47="",BH56&lt;4),"",VLOOKUP(4,AX$77:BB$87,5,FALSE))</f>
        <v/>
      </c>
      <c r="S48" s="320" t="str">
        <f>IF(OR(B$47="",BH56&lt;6),"",VLOOKUP(6,AX$77:BB$87,2,FALSE))</f>
        <v/>
      </c>
      <c r="T48" s="321"/>
      <c r="U48" s="227" t="str">
        <f>IF(OR(B$47="",BH56&lt;6),"",VLOOKUP(6,AX$77:BB$87,3,FALSE))</f>
        <v/>
      </c>
      <c r="V48" s="396" t="str">
        <f>IF(OR(B$47="",BH56&lt;6),"",VLOOKUP(6,AX$77:BB$87,5,FALSE))</f>
        <v/>
      </c>
      <c r="W48" s="397"/>
      <c r="AP48" s="176">
        <v>2</v>
      </c>
      <c r="AQ48" s="16">
        <f>IF(ISNA(VLOOKUP(AQ47,BH$19:BI$41,2,FALSE)),0,AQ47+VLOOKUP(AQ47,BH$19:BI$41,2,FALSE))</f>
        <v>0</v>
      </c>
      <c r="AR48" s="176">
        <f t="shared" ref="AR48:AR52" si="35">IF(AQ49=0,0,AQ48)</f>
        <v>0</v>
      </c>
      <c r="AT48" s="16" t="str">
        <f>IF(AR48=0,"",VLOOKUP(AR48,AR19:AT41,3,FALSE))</f>
        <v/>
      </c>
      <c r="AU48" s="16" t="str">
        <f>IF(AR48=0,"",VLOOKUP(AR48,AR19:AU41,4,FALSE))</f>
        <v/>
      </c>
      <c r="AV48" s="28">
        <f t="shared" ref="AV48:BC52" si="36">SUMIF($AR$19:$AR$41,$AR48,AV$19:AV$41)</f>
        <v>0</v>
      </c>
      <c r="AW48" s="28">
        <f t="shared" si="36"/>
        <v>0</v>
      </c>
      <c r="AX48" s="174">
        <f t="shared" si="36"/>
        <v>0</v>
      </c>
      <c r="AY48" s="175">
        <f t="shared" si="36"/>
        <v>0</v>
      </c>
      <c r="AZ48" s="28">
        <f t="shared" si="36"/>
        <v>0</v>
      </c>
      <c r="BA48" s="28">
        <f t="shared" si="36"/>
        <v>0</v>
      </c>
      <c r="BB48" s="28">
        <f t="shared" si="36"/>
        <v>0</v>
      </c>
      <c r="BC48" s="28">
        <f t="shared" si="36"/>
        <v>0</v>
      </c>
      <c r="BD48" s="28">
        <f t="shared" si="33"/>
        <v>0</v>
      </c>
      <c r="BE48" s="28">
        <f t="shared" ref="BE48:BF52" si="37">SUMIF($AR$19:$AR$41,$AR48,BE$19:BE$41)</f>
        <v>0</v>
      </c>
      <c r="BF48" s="28">
        <f t="shared" si="37"/>
        <v>0</v>
      </c>
      <c r="BH48" s="28">
        <f t="shared" si="34"/>
        <v>0</v>
      </c>
    </row>
    <row r="49" spans="1:69" ht="20.100000000000001" customHeight="1" x14ac:dyDescent="0.3">
      <c r="B49" s="339" t="str">
        <f>$AT$48</f>
        <v/>
      </c>
      <c r="C49" s="341" t="str">
        <f>$AU$48</f>
        <v/>
      </c>
      <c r="D49" s="342"/>
      <c r="E49" s="342"/>
      <c r="F49" s="343"/>
      <c r="G49" s="359" t="str">
        <f>IF(B49="","",$BH$48)</f>
        <v/>
      </c>
      <c r="H49" s="360"/>
      <c r="I49" s="352" t="str">
        <f>IF(OR(B$49="",BH59&lt;1),"",VLOOKUP(1,AX$88:BB$98,2,FALSE))</f>
        <v/>
      </c>
      <c r="J49" s="353"/>
      <c r="K49" s="347" t="str">
        <f>IF(OR(B$49="",BH59&lt;1),"",VLOOKUP(1,AX$88:BB$98,3,FALSE))</f>
        <v/>
      </c>
      <c r="L49" s="453"/>
      <c r="M49" s="348"/>
      <c r="N49" s="228" t="str">
        <f>IF(OR(B$49="",BH59&lt;1),"",VLOOKUP(1,AX$88:BB$98,5,FALSE))</f>
        <v/>
      </c>
      <c r="O49" s="229" t="str">
        <f>IF(OR(B$49="",BH59&lt;3),"",VLOOKUP(3,AX$88:BB$98,2,FALSE))</f>
        <v/>
      </c>
      <c r="P49" s="347" t="str">
        <f>IF(OR(B$49="",BH59&lt;3),"",VLOOKUP(3,AX$88:BB$98,3,FALSE))</f>
        <v/>
      </c>
      <c r="Q49" s="348"/>
      <c r="R49" s="230" t="str">
        <f>IF(OR(B$49="",BH59&lt;3),"",VLOOKUP(3,AX$88:BB$98,5,FALSE))</f>
        <v/>
      </c>
      <c r="S49" s="352" t="str">
        <f>IF(OR(B$49="",BH59&lt;5),"",VLOOKUP(5,AX$88:BB$98,2,FALSE))</f>
        <v/>
      </c>
      <c r="T49" s="353"/>
      <c r="U49" s="231" t="str">
        <f>IF(OR(B$49="",BH59&lt;5),"",VLOOKUP(5,AX$88:BB$98,3,FALSE))</f>
        <v/>
      </c>
      <c r="V49" s="363" t="str">
        <f>IF(OR(B$49="",BH59&lt;5),"",VLOOKUP(5,AX$88:BB$98,5,FALSE))</f>
        <v/>
      </c>
      <c r="W49" s="364"/>
      <c r="AH49" s="524" t="s">
        <v>61</v>
      </c>
      <c r="AI49" s="525"/>
      <c r="AJ49" s="525"/>
      <c r="AK49" s="526"/>
      <c r="AP49" s="176">
        <v>3</v>
      </c>
      <c r="AQ49" s="16">
        <f>IF(ISNA(VLOOKUP(AQ48,BH$19:BI$41,2,FALSE)),0,AQ48+VLOOKUP(AQ48,BH$19:BI$41,2,FALSE))</f>
        <v>0</v>
      </c>
      <c r="AR49" s="176">
        <f t="shared" si="35"/>
        <v>0</v>
      </c>
      <c r="AT49" s="16" t="str">
        <f>IF(AR49=0,"",VLOOKUP(AR49,AR19:AT41,3,FALSE))</f>
        <v/>
      </c>
      <c r="AU49" s="16" t="str">
        <f>IF(AR49=0,"",VLOOKUP(AR49,AR19:AU41,4,FALSE))</f>
        <v/>
      </c>
      <c r="AV49" s="28">
        <f t="shared" si="36"/>
        <v>0</v>
      </c>
      <c r="AW49" s="28">
        <f t="shared" si="36"/>
        <v>0</v>
      </c>
      <c r="AX49" s="174">
        <f t="shared" si="36"/>
        <v>0</v>
      </c>
      <c r="AY49" s="175">
        <f t="shared" si="36"/>
        <v>0</v>
      </c>
      <c r="AZ49" s="28">
        <f t="shared" si="36"/>
        <v>0</v>
      </c>
      <c r="BA49" s="28">
        <f t="shared" si="36"/>
        <v>0</v>
      </c>
      <c r="BB49" s="28">
        <f t="shared" si="36"/>
        <v>0</v>
      </c>
      <c r="BC49" s="28">
        <f t="shared" si="36"/>
        <v>0</v>
      </c>
      <c r="BD49" s="28">
        <f t="shared" si="33"/>
        <v>0</v>
      </c>
      <c r="BE49" s="28">
        <f t="shared" si="37"/>
        <v>0</v>
      </c>
      <c r="BF49" s="28">
        <f t="shared" si="37"/>
        <v>0</v>
      </c>
      <c r="BH49" s="28">
        <f t="shared" si="34"/>
        <v>0</v>
      </c>
    </row>
    <row r="50" spans="1:69" ht="20.100000000000001" customHeight="1" x14ac:dyDescent="0.3">
      <c r="B50" s="340"/>
      <c r="C50" s="344"/>
      <c r="D50" s="345"/>
      <c r="E50" s="345"/>
      <c r="F50" s="346"/>
      <c r="G50" s="361"/>
      <c r="H50" s="362"/>
      <c r="I50" s="367" t="str">
        <f>IF(OR(B$49="",BH59&lt;2),"",VLOOKUP(2,AX$88:BB$98,2,FALSE))</f>
        <v/>
      </c>
      <c r="J50" s="368"/>
      <c r="K50" s="324" t="str">
        <f>IF(OR(B$49="",BH59&lt;2),"",VLOOKUP(2,AX$88:BB$98,3,FALSE))</f>
        <v/>
      </c>
      <c r="L50" s="325"/>
      <c r="M50" s="326"/>
      <c r="N50" s="232" t="str">
        <f>IF(OR(B$49="",BH59&lt;2),"",VLOOKUP(2,AX$88:BB$98,5,FALSE))</f>
        <v/>
      </c>
      <c r="O50" s="233" t="str">
        <f>IF(OR(B$49="",BH59&lt;4),"",VLOOKUP(4,AX$88:BB$98,2,FALSE))</f>
        <v/>
      </c>
      <c r="P50" s="324" t="str">
        <f>IF(OR(B$49="",BH59&lt;4),"",VLOOKUP(4,AX$88:BB$98,3,FALSE))</f>
        <v/>
      </c>
      <c r="Q50" s="326"/>
      <c r="R50" s="234" t="str">
        <f>IF(OR(B$49="",BH59&lt;4),"",VLOOKUP(4,AX$88:BB$98,5,FALSE))</f>
        <v/>
      </c>
      <c r="S50" s="367" t="str">
        <f>IF(OR(B$49="",BH59&lt;6),"",VLOOKUP(6,AX$88:BB$98,2,FALSE))</f>
        <v/>
      </c>
      <c r="T50" s="368"/>
      <c r="U50" s="235" t="str">
        <f>IF(OR(B$49="",BH59&lt;6),"",VLOOKUP(6,AX$88:BB$98,3,FALSE))</f>
        <v/>
      </c>
      <c r="V50" s="392" t="str">
        <f>IF(OR(B$49="",BH59&lt;6),"",VLOOKUP(6,AX$88:BB$98,5,FALSE))</f>
        <v/>
      </c>
      <c r="W50" s="393"/>
      <c r="AH50" s="117">
        <v>1</v>
      </c>
      <c r="AI50" s="374" t="s">
        <v>62</v>
      </c>
      <c r="AJ50" s="375"/>
      <c r="AK50" s="116" t="s">
        <v>63</v>
      </c>
      <c r="AP50" s="176">
        <v>4</v>
      </c>
      <c r="AQ50" s="16">
        <f>IF(ISNA(VLOOKUP(AQ49,BH$19:BI$41,2,FALSE)),0,AQ49+VLOOKUP(AQ49,BH$19:BI$41,2,FALSE))</f>
        <v>0</v>
      </c>
      <c r="AR50" s="176">
        <f t="shared" si="35"/>
        <v>0</v>
      </c>
      <c r="AT50" s="16" t="str">
        <f>IF(AR50=0,"",VLOOKUP(AR50,AR19:AT41,3,FALSE))</f>
        <v/>
      </c>
      <c r="AU50" s="16" t="str">
        <f>IF(AR50=0,"",VLOOKUP(AR50,AR19:AU41,4,FALSE))</f>
        <v/>
      </c>
      <c r="AV50" s="28">
        <f t="shared" si="36"/>
        <v>0</v>
      </c>
      <c r="AW50" s="28">
        <f t="shared" si="36"/>
        <v>0</v>
      </c>
      <c r="AX50" s="174">
        <f t="shared" si="36"/>
        <v>0</v>
      </c>
      <c r="AY50" s="175">
        <f t="shared" si="36"/>
        <v>0</v>
      </c>
      <c r="AZ50" s="28">
        <f t="shared" si="36"/>
        <v>0</v>
      </c>
      <c r="BA50" s="28">
        <f t="shared" si="36"/>
        <v>0</v>
      </c>
      <c r="BB50" s="28">
        <f t="shared" si="36"/>
        <v>0</v>
      </c>
      <c r="BC50" s="28">
        <f t="shared" si="36"/>
        <v>0</v>
      </c>
      <c r="BD50" s="28">
        <f t="shared" si="33"/>
        <v>0</v>
      </c>
      <c r="BE50" s="28">
        <f t="shared" si="37"/>
        <v>0</v>
      </c>
      <c r="BF50" s="28">
        <f t="shared" si="37"/>
        <v>0</v>
      </c>
      <c r="BH50" s="28">
        <f t="shared" si="34"/>
        <v>0</v>
      </c>
    </row>
    <row r="51" spans="1:69" ht="20.100000000000001" customHeight="1" x14ac:dyDescent="0.3">
      <c r="B51" s="333" t="str">
        <f>$AT$49</f>
        <v/>
      </c>
      <c r="C51" s="327" t="str">
        <f>$AU$49</f>
        <v/>
      </c>
      <c r="D51" s="328"/>
      <c r="E51" s="328"/>
      <c r="F51" s="329"/>
      <c r="G51" s="335" t="str">
        <f>IF(B51="","",$BH$49)</f>
        <v/>
      </c>
      <c r="H51" s="336"/>
      <c r="I51" s="382" t="str">
        <f>IF(OR(B$51="",BH62&lt;1),"",VLOOKUP(1,AX$99:BB$109,2,FALSE))</f>
        <v/>
      </c>
      <c r="J51" s="383"/>
      <c r="K51" s="384" t="str">
        <f>IF(OR(B$51="",BH62&lt;1),"",VLOOKUP(1,AX$99:BB$109,3,FALSE))</f>
        <v/>
      </c>
      <c r="L51" s="467"/>
      <c r="M51" s="385"/>
      <c r="N51" s="220" t="str">
        <f>IF(OR(B$51="",BH62&lt;1),"",VLOOKUP(1,AX$99:BB$109,5,FALSE))</f>
        <v/>
      </c>
      <c r="O51" s="221" t="str">
        <f>IF(OR(B$51="",BH62&lt;3),"",VLOOKUP(3,AX$99:BB$109,2,FALSE))</f>
        <v/>
      </c>
      <c r="P51" s="384" t="str">
        <f>IF(OR(B$51="",BH62&lt;3),"",VLOOKUP(3,AX$99:BB$109,3,FALSE))</f>
        <v/>
      </c>
      <c r="Q51" s="385"/>
      <c r="R51" s="222" t="str">
        <f>IF(OR(B$51="",BH62&lt;3),"",VLOOKUP(3,AX$99:BB$109,5,FALSE))</f>
        <v/>
      </c>
      <c r="S51" s="382" t="str">
        <f>IF(OR(B$51="",BH$62&lt;5),"",VLOOKUP(5,AX$99:BB$109,2,FALSE))</f>
        <v/>
      </c>
      <c r="T51" s="398"/>
      <c r="U51" s="223" t="str">
        <f>IF(OR(B$51="",BH$62&lt;5),"",VLOOKUP(5,AX$99:BB$109,3,FALSE))</f>
        <v/>
      </c>
      <c r="V51" s="394" t="str">
        <f>IF(OR(B$51="",BH$62&lt;5),"",VLOOKUP(5,AX$99:BB$109,5,FALSE))</f>
        <v/>
      </c>
      <c r="W51" s="395"/>
      <c r="AH51" s="117">
        <v>2</v>
      </c>
      <c r="AI51" s="317" t="s">
        <v>137</v>
      </c>
      <c r="AJ51" s="318"/>
      <c r="AK51" s="28">
        <f>$H$67</f>
        <v>4.8</v>
      </c>
      <c r="AP51" s="176">
        <v>5</v>
      </c>
      <c r="AQ51" s="16">
        <f>IF(ISNA(VLOOKUP(AQ50,BH$19:BI$41,2,FALSE)),0,AQ50+VLOOKUP(AQ50,BH$19:BI$41,2,FALSE))</f>
        <v>0</v>
      </c>
      <c r="AR51" s="176">
        <f t="shared" si="35"/>
        <v>0</v>
      </c>
      <c r="AT51" s="16" t="str">
        <f>IF(AR51=0,"",VLOOKUP(AR51,AR19:AT41,3,FALSE))</f>
        <v/>
      </c>
      <c r="AU51" s="16" t="str">
        <f>IF(AR51=0,"",VLOOKUP(AR51,AR19:AU41,4,FALSE))</f>
        <v/>
      </c>
      <c r="AV51" s="28">
        <f t="shared" si="36"/>
        <v>0</v>
      </c>
      <c r="AW51" s="28">
        <f t="shared" si="36"/>
        <v>0</v>
      </c>
      <c r="AX51" s="174">
        <f t="shared" si="36"/>
        <v>0</v>
      </c>
      <c r="AY51" s="175">
        <f t="shared" si="36"/>
        <v>0</v>
      </c>
      <c r="AZ51" s="28">
        <f t="shared" si="36"/>
        <v>0</v>
      </c>
      <c r="BA51" s="28">
        <f t="shared" si="36"/>
        <v>0</v>
      </c>
      <c r="BB51" s="28">
        <f t="shared" si="36"/>
        <v>0</v>
      </c>
      <c r="BC51" s="28">
        <f t="shared" si="36"/>
        <v>0</v>
      </c>
      <c r="BD51" s="28">
        <f t="shared" si="33"/>
        <v>0</v>
      </c>
      <c r="BE51" s="28">
        <f t="shared" si="37"/>
        <v>0</v>
      </c>
      <c r="BF51" s="28">
        <f t="shared" si="37"/>
        <v>0</v>
      </c>
      <c r="BH51" s="28">
        <f t="shared" si="34"/>
        <v>0</v>
      </c>
    </row>
    <row r="52" spans="1:69" ht="20.100000000000001" customHeight="1" x14ac:dyDescent="0.3">
      <c r="B52" s="334"/>
      <c r="C52" s="330"/>
      <c r="D52" s="331"/>
      <c r="E52" s="331"/>
      <c r="F52" s="332"/>
      <c r="G52" s="337"/>
      <c r="H52" s="338"/>
      <c r="I52" s="320" t="str">
        <f>IF(OR(B$51="",BH62&lt;2),"",VLOOKUP(2,AX$99:BB$109,2,FALSE))</f>
        <v/>
      </c>
      <c r="J52" s="321"/>
      <c r="K52" s="357" t="str">
        <f>IF(OR(B$51="",BH62&lt;2),"",VLOOKUP(2,AX$99:BB$109,3,FALSE))</f>
        <v/>
      </c>
      <c r="L52" s="452"/>
      <c r="M52" s="358"/>
      <c r="N52" s="236" t="str">
        <f>IF(OR(B$51="",BH62&lt;2),"",VLOOKUP(2,AX$99:BB$109,5,FALSE))</f>
        <v/>
      </c>
      <c r="O52" s="225" t="str">
        <f>IF(OR(B$51="",BH62&lt;4),"",VLOOKUP(4,AX$99:BB$109,2,FALSE))</f>
        <v/>
      </c>
      <c r="P52" s="357" t="str">
        <f>IF(OR(B$51="",BH62&lt;4),"",VLOOKUP(4,AX$99:BB$109,3,FALSE))</f>
        <v/>
      </c>
      <c r="Q52" s="358"/>
      <c r="R52" s="226" t="str">
        <f>IF(OR(B$51="",BH62&lt;4),"",VLOOKUP(4,AX$99:BB$109,5,FALSE))</f>
        <v/>
      </c>
      <c r="S52" s="320" t="str">
        <f>IF(OR(B$51="",BH$62&lt;6),"",VLOOKUP(6,AX$99:BB$109,2,FALSE))</f>
        <v/>
      </c>
      <c r="T52" s="321"/>
      <c r="U52" s="237" t="str">
        <f>IF(OR(B$51="",BH$62&lt;6),"",VLOOKUP(6,AX$99:BB$109,3,FALSE))</f>
        <v/>
      </c>
      <c r="V52" s="365" t="str">
        <f>IF(OR(B$51="",BH$62&lt;6),"",VLOOKUP(6,AX$99:BB$109,5,FALSE))</f>
        <v/>
      </c>
      <c r="W52" s="366"/>
      <c r="AH52" s="117">
        <v>3</v>
      </c>
      <c r="AI52" s="317" t="s">
        <v>64</v>
      </c>
      <c r="AJ52" s="318"/>
      <c r="AK52" s="28">
        <f>H68</f>
        <v>9.6</v>
      </c>
      <c r="AP52" s="176">
        <v>6</v>
      </c>
      <c r="AQ52" s="16">
        <f>IF(ISNA(VLOOKUP(AQ51,BH$19:BI$41,2,FALSE)),0,AQ51+VLOOKUP(AQ51,BH$19:BI$41,2,FALSE))</f>
        <v>0</v>
      </c>
      <c r="AR52" s="176">
        <f t="shared" si="35"/>
        <v>0</v>
      </c>
      <c r="AT52" s="16" t="str">
        <f>IF(AR52=0,"",VLOOKUP(AR52,AR19:AT41,3,FALSE))</f>
        <v/>
      </c>
      <c r="AU52" s="16" t="str">
        <f>IF(AR52=0,"",VLOOKUP(AR52,AR19:AU41,4,FALSE))</f>
        <v/>
      </c>
      <c r="AV52" s="28">
        <f t="shared" si="36"/>
        <v>0</v>
      </c>
      <c r="AW52" s="28">
        <f t="shared" si="36"/>
        <v>0</v>
      </c>
      <c r="AX52" s="174">
        <f t="shared" si="36"/>
        <v>0</v>
      </c>
      <c r="AY52" s="175">
        <f t="shared" si="36"/>
        <v>0</v>
      </c>
      <c r="AZ52" s="28">
        <f t="shared" si="36"/>
        <v>0</v>
      </c>
      <c r="BA52" s="28">
        <f t="shared" si="36"/>
        <v>0</v>
      </c>
      <c r="BB52" s="28">
        <f t="shared" si="36"/>
        <v>0</v>
      </c>
      <c r="BC52" s="28">
        <f t="shared" si="36"/>
        <v>0</v>
      </c>
      <c r="BD52" s="28">
        <f t="shared" si="33"/>
        <v>0</v>
      </c>
      <c r="BE52" s="28">
        <f t="shared" si="37"/>
        <v>0</v>
      </c>
      <c r="BF52" s="28">
        <f t="shared" si="37"/>
        <v>0</v>
      </c>
      <c r="BH52" s="190">
        <f t="shared" si="34"/>
        <v>0</v>
      </c>
    </row>
    <row r="53" spans="1:69" ht="20.100000000000001" customHeight="1" thickBot="1" x14ac:dyDescent="0.35">
      <c r="B53" s="339" t="str">
        <f>$AT$50</f>
        <v/>
      </c>
      <c r="C53" s="341" t="str">
        <f>$AU$50</f>
        <v/>
      </c>
      <c r="D53" s="342"/>
      <c r="E53" s="342"/>
      <c r="F53" s="343"/>
      <c r="G53" s="359" t="str">
        <f>IF(B53="","",$BH$50)</f>
        <v/>
      </c>
      <c r="H53" s="360"/>
      <c r="I53" s="352" t="str">
        <f>IF(OR(B$53="",BH$65&lt;1),"",VLOOKUP(1,AX$110:BB$120,2,FALSE))</f>
        <v/>
      </c>
      <c r="J53" s="353"/>
      <c r="K53" s="347" t="str">
        <f>IF(OR(B$53="",BH$65&lt;1),"",VLOOKUP(1,AX$110:BB$120,3,FALSE))</f>
        <v/>
      </c>
      <c r="L53" s="453"/>
      <c r="M53" s="348"/>
      <c r="N53" s="228" t="str">
        <f>IF(OR(B$51="",BH$65&lt;1),"",VLOOKUP(1,AX$110:BB$120,5,FALSE))</f>
        <v/>
      </c>
      <c r="O53" s="229" t="str">
        <f>IF(OR(B$53="",BH$65&lt;3),"",VLOOKUP(3,AX$110:BB$120,2,FALSE))</f>
        <v/>
      </c>
      <c r="P53" s="347" t="str">
        <f>IF(OR(B$53="",BH$65&lt;3),"",VLOOKUP(3,AX$110:BB$120,3,FALSE))</f>
        <v/>
      </c>
      <c r="Q53" s="348"/>
      <c r="R53" s="230" t="str">
        <f>IF(OR(B$51="",BH$65&lt;3),"",VLOOKUP(3,AX$110:BB$120,5,FALSE))</f>
        <v/>
      </c>
      <c r="S53" s="352" t="str">
        <f>IF(OR(B$53="",BH$65&lt;5),"",VLOOKUP(5,AX$110:BB$120,2,FALSE))</f>
        <v/>
      </c>
      <c r="T53" s="451"/>
      <c r="U53" s="231" t="str">
        <f>IF(OR(B$53="",BH$65&lt;5),"",VLOOKUP(5,AX$110:BB$120,3,FALSE))</f>
        <v/>
      </c>
      <c r="V53" s="363" t="str">
        <f>IF(OR(B$51="",BH$65&lt;5),"",VLOOKUP(5,AX$110:BB$120,5,FALSE))</f>
        <v/>
      </c>
      <c r="W53" s="364"/>
      <c r="AH53" s="117">
        <v>4</v>
      </c>
      <c r="AI53" s="317" t="s">
        <v>65</v>
      </c>
      <c r="AJ53" s="318"/>
      <c r="AK53" s="28">
        <f>H67+H68</f>
        <v>14.399999999999999</v>
      </c>
      <c r="AQ53" s="26">
        <v>100</v>
      </c>
      <c r="AV53" s="14">
        <v>120</v>
      </c>
      <c r="AW53" s="14">
        <v>108</v>
      </c>
      <c r="AX53" s="14">
        <v>60</v>
      </c>
      <c r="AY53" s="14">
        <v>96</v>
      </c>
      <c r="AZ53" s="14">
        <v>84</v>
      </c>
      <c r="BA53" s="14">
        <v>72</v>
      </c>
      <c r="BB53" s="14">
        <v>48</v>
      </c>
      <c r="BC53" s="14">
        <v>36</v>
      </c>
      <c r="BD53" s="14">
        <v>24</v>
      </c>
      <c r="BE53" s="14">
        <v>12</v>
      </c>
      <c r="BF53" s="14">
        <v>0</v>
      </c>
      <c r="BH53" s="515" t="s">
        <v>165</v>
      </c>
      <c r="BI53" s="516"/>
      <c r="BJ53" s="22"/>
    </row>
    <row r="54" spans="1:69" ht="20.100000000000001" customHeight="1" x14ac:dyDescent="0.3">
      <c r="B54" s="340"/>
      <c r="C54" s="344"/>
      <c r="D54" s="345"/>
      <c r="E54" s="345"/>
      <c r="F54" s="346"/>
      <c r="G54" s="361"/>
      <c r="H54" s="362"/>
      <c r="I54" s="367" t="str">
        <f>IF(OR(B$53="",BH$65&lt;2),"",VLOOKUP(2,AX$110:BB$120,2,FALSE))</f>
        <v/>
      </c>
      <c r="J54" s="368"/>
      <c r="K54" s="324" t="str">
        <f>IF(OR(B$53="",BH$65&lt;2),"",VLOOKUP(2,AX$110:BB$120,3,FALSE))</f>
        <v/>
      </c>
      <c r="L54" s="325"/>
      <c r="M54" s="326"/>
      <c r="N54" s="238" t="str">
        <f>IF(OR(B$51="",BH$65&lt;2),"",VLOOKUP(2,AX$110:BB$120,5,FALSE))</f>
        <v/>
      </c>
      <c r="O54" s="233" t="str">
        <f>IF(OR(B$53="",BH$65&lt;4),"",VLOOKUP(4,AX$110:BB$120,2,FALSE))</f>
        <v/>
      </c>
      <c r="P54" s="324" t="str">
        <f>IF(OR(B$53="",BH$65&lt;4),"",VLOOKUP(4,AX$110:BB$120,3,FALSE))</f>
        <v/>
      </c>
      <c r="Q54" s="326"/>
      <c r="R54" s="234" t="str">
        <f>IF(OR(B$51="",BH$65&lt;4),"",VLOOKUP(4,AX$110:BB$120,5,FALSE))</f>
        <v/>
      </c>
      <c r="S54" s="367" t="str">
        <f>IF(OR(B$53="",BH$65&lt;6),"",VLOOKUP(6,AX$110:BB$120,2,FALSE))</f>
        <v/>
      </c>
      <c r="T54" s="476"/>
      <c r="U54" s="235" t="str">
        <f>IF(OR(B$53="",BH$65&lt;6),"",VLOOKUP(6,AX$110:BB$120,3,FALSE))</f>
        <v/>
      </c>
      <c r="V54" s="392" t="str">
        <f>IF(OR(B$51="",BH$65&lt;6),"",VLOOKUP(6,AX$110:BB$120,5,FALSE))</f>
        <v/>
      </c>
      <c r="W54" s="393"/>
      <c r="AH54" s="117">
        <v>5</v>
      </c>
      <c r="AI54" s="317" t="s">
        <v>66</v>
      </c>
      <c r="AJ54" s="318"/>
      <c r="AK54" s="28">
        <f>2*H68</f>
        <v>19.2</v>
      </c>
      <c r="AT54" s="183">
        <v>1</v>
      </c>
      <c r="AU54" s="177" t="s">
        <v>142</v>
      </c>
      <c r="AV54" s="177">
        <f t="shared" ref="AV54:BF54" si="38">IF(AV47=0,0,RANK(AV47,$AV47:$BF47,0))</f>
        <v>0</v>
      </c>
      <c r="AW54" s="177">
        <f t="shared" si="38"/>
        <v>0</v>
      </c>
      <c r="AX54" s="177">
        <f t="shared" si="38"/>
        <v>0</v>
      </c>
      <c r="AY54" s="177">
        <f t="shared" si="38"/>
        <v>0</v>
      </c>
      <c r="AZ54" s="177">
        <f t="shared" si="38"/>
        <v>0</v>
      </c>
      <c r="BA54" s="177">
        <f t="shared" si="38"/>
        <v>0</v>
      </c>
      <c r="BB54" s="177">
        <f t="shared" si="38"/>
        <v>0</v>
      </c>
      <c r="BC54" s="177">
        <f t="shared" si="38"/>
        <v>0</v>
      </c>
      <c r="BD54" s="177">
        <f t="shared" si="38"/>
        <v>0</v>
      </c>
      <c r="BE54" s="177">
        <f t="shared" si="38"/>
        <v>0</v>
      </c>
      <c r="BF54" s="178">
        <f t="shared" si="38"/>
        <v>0</v>
      </c>
      <c r="BH54" s="16"/>
      <c r="BI54" s="16"/>
    </row>
    <row r="55" spans="1:69" ht="20.100000000000001" customHeight="1" x14ac:dyDescent="0.3">
      <c r="B55" s="333" t="str">
        <f>$AT$51</f>
        <v/>
      </c>
      <c r="C55" s="327" t="str">
        <f>$AU$51</f>
        <v/>
      </c>
      <c r="D55" s="328"/>
      <c r="E55" s="328"/>
      <c r="F55" s="329"/>
      <c r="G55" s="335" t="str">
        <f>IF(B55="","",$BH$51)</f>
        <v/>
      </c>
      <c r="H55" s="336"/>
      <c r="I55" s="382" t="str">
        <f>IF(OR(B$55="",BH$68&lt;1),"",VLOOKUP(1,AX$121:BB$131,2,FALSE))</f>
        <v/>
      </c>
      <c r="J55" s="383"/>
      <c r="K55" s="384" t="str">
        <f>IF(OR(B$55="",BH$68&lt;1),"",VLOOKUP(1,AX$121:BB$131,3,FALSE))</f>
        <v/>
      </c>
      <c r="L55" s="467"/>
      <c r="M55" s="385"/>
      <c r="N55" s="220" t="str">
        <f>IF(OR(B$55="",BH$68&lt;1),"",VLOOKUP(1,AX$121:BB$131,5,FALSE))</f>
        <v/>
      </c>
      <c r="O55" s="221" t="str">
        <f>IF(OR(B$55="",BH$68&lt;3),"",VLOOKUP(3,AX$121:BB$131,2,FALSE))</f>
        <v/>
      </c>
      <c r="P55" s="384" t="str">
        <f>IF(OR(B$55="",BH$68&lt;3),"",VLOOKUP(3,AX$121:BB$131,3,FALSE))</f>
        <v/>
      </c>
      <c r="Q55" s="385"/>
      <c r="R55" s="222" t="str">
        <f>IF(OR(B$55="",BH$68&lt;3),"",VLOOKUP(3,AX$121:BB$131,5,FALSE))</f>
        <v/>
      </c>
      <c r="S55" s="382" t="str">
        <f>IF(OR(B$55="",BH$68&lt;5),"",VLOOKUP(5,AX$121:BB$131,2,FALSE))</f>
        <v/>
      </c>
      <c r="T55" s="383"/>
      <c r="U55" s="223" t="str">
        <f>IF(OR(B$55="",BH$68&lt;5),"",VLOOKUP(5,AX$121:BB$131,3,FALSE))</f>
        <v/>
      </c>
      <c r="V55" s="394" t="str">
        <f>IF(OR(B$55="",BH$68&lt;5),"",VLOOKUP(5,AX$121:BB$131,5,FALSE))</f>
        <v/>
      </c>
      <c r="W55" s="395"/>
      <c r="AH55" s="117" t="s">
        <v>67</v>
      </c>
      <c r="AI55" s="317" t="s">
        <v>68</v>
      </c>
      <c r="AJ55" s="318"/>
      <c r="AK55" s="28">
        <f>H67+2*H68</f>
        <v>24</v>
      </c>
      <c r="AT55" s="179"/>
      <c r="AU55" s="16"/>
      <c r="AV55" s="16">
        <f>IF(AV54=0,0,AV54+120)</f>
        <v>0</v>
      </c>
      <c r="AW55" s="16">
        <f>IF(AW54=0,0,AW54+108)</f>
        <v>0</v>
      </c>
      <c r="AX55" s="16">
        <f>IF(AX54=0,0,AX54+60)</f>
        <v>0</v>
      </c>
      <c r="AY55" s="16">
        <f>IF(AY54=0,0,AY54+96)</f>
        <v>0</v>
      </c>
      <c r="AZ55" s="16">
        <f>IF(AZ54=0,0,AZ54+84)</f>
        <v>0</v>
      </c>
      <c r="BA55" s="16">
        <f>IF(BA54=0,0,BA54+72)</f>
        <v>0</v>
      </c>
      <c r="BB55" s="16">
        <f>IF(BB54=0,0,BB54+48)</f>
        <v>0</v>
      </c>
      <c r="BC55" s="16">
        <f>IF(BC54=0,0,BC54+36)</f>
        <v>0</v>
      </c>
      <c r="BD55" s="16">
        <f>IF(BD54=0,0,BD54+24)</f>
        <v>0</v>
      </c>
      <c r="BE55" s="16">
        <f>IF(BE54=0,0,BE54+12)</f>
        <v>0</v>
      </c>
      <c r="BF55" s="180">
        <f>IF(BF54=0,0,BF54+0)</f>
        <v>0</v>
      </c>
      <c r="BH55" s="16"/>
      <c r="BI55" s="16"/>
    </row>
    <row r="56" spans="1:69" ht="20.100000000000001" customHeight="1" thickBot="1" x14ac:dyDescent="0.35">
      <c r="B56" s="334"/>
      <c r="C56" s="330"/>
      <c r="D56" s="331"/>
      <c r="E56" s="331"/>
      <c r="F56" s="332"/>
      <c r="G56" s="337"/>
      <c r="H56" s="338"/>
      <c r="I56" s="320" t="str">
        <f>IF(OR(B$55="",BH$68&lt;2),"",VLOOKUP(2,AX$121:BB$131,2,FALSE))</f>
        <v/>
      </c>
      <c r="J56" s="321"/>
      <c r="K56" s="357" t="str">
        <f>IF(OR(B$55="",BH$68&lt;2),"",VLOOKUP(2,AX$121:BB$131,3,FALSE))</f>
        <v/>
      </c>
      <c r="L56" s="452"/>
      <c r="M56" s="358"/>
      <c r="N56" s="236" t="str">
        <f>IF(OR(B$55="",BH$68&lt;2),"",VLOOKUP(2,AX$121:BB$131,5,FALSE))</f>
        <v/>
      </c>
      <c r="O56" s="225" t="str">
        <f>IF(OR(B$55="",BH$68&lt;4),"",VLOOKUP(4,AX$121:BB$131,2,FALSE))</f>
        <v/>
      </c>
      <c r="P56" s="357" t="str">
        <f>IF(OR(B$55="",BH$68&lt;4),"",VLOOKUP(4,AX$121:BB$131,3,FALSE))</f>
        <v/>
      </c>
      <c r="Q56" s="358"/>
      <c r="R56" s="226" t="str">
        <f>IF(OR(B$55="",BH$68&lt;3),"",VLOOKUP(3,AX$121:BB$131,5,FALSE))</f>
        <v/>
      </c>
      <c r="S56" s="320" t="str">
        <f>IF(OR(B$55="",BH$68&lt;6),"",VLOOKUP(6,AX$121:BB$131,2,FALSE))</f>
        <v/>
      </c>
      <c r="T56" s="321"/>
      <c r="U56" s="227" t="str">
        <f>IF(OR(B$55="",BH$68&lt;6),"",VLOOKUP(6,AX$121:BB$131,3,FALSE))</f>
        <v/>
      </c>
      <c r="V56" s="396" t="str">
        <f>IF(OR(B$55="",BH$68&lt;6),"",VLOOKUP(6,AX$121:BB$131,5,FALSE))</f>
        <v/>
      </c>
      <c r="W56" s="397"/>
      <c r="AT56" s="197"/>
      <c r="AU56" s="198"/>
      <c r="AV56" s="198">
        <f>IF(AV55=0,0,RANK(AV55,$AV55:$BF55,0))</f>
        <v>0</v>
      </c>
      <c r="AW56" s="198">
        <f t="shared" ref="AW56:BF56" si="39">IF(AW55=0,0,RANK(AW55,$AV55:$BF55,0))</f>
        <v>0</v>
      </c>
      <c r="AX56" s="198">
        <f t="shared" si="39"/>
        <v>0</v>
      </c>
      <c r="AY56" s="198">
        <f t="shared" si="39"/>
        <v>0</v>
      </c>
      <c r="AZ56" s="198">
        <f t="shared" si="39"/>
        <v>0</v>
      </c>
      <c r="BA56" s="198">
        <f t="shared" si="39"/>
        <v>0</v>
      </c>
      <c r="BB56" s="198">
        <f t="shared" si="39"/>
        <v>0</v>
      </c>
      <c r="BC56" s="198">
        <f t="shared" si="39"/>
        <v>0</v>
      </c>
      <c r="BD56" s="198">
        <f t="shared" si="39"/>
        <v>0</v>
      </c>
      <c r="BE56" s="198">
        <f t="shared" si="39"/>
        <v>0</v>
      </c>
      <c r="BF56" s="199">
        <f t="shared" si="39"/>
        <v>0</v>
      </c>
      <c r="BH56" s="103">
        <f>COUNTIF(AV56:BF56,"&gt;0")</f>
        <v>0</v>
      </c>
      <c r="BI56" s="103"/>
    </row>
    <row r="57" spans="1:69" ht="20.100000000000001" customHeight="1" x14ac:dyDescent="0.3">
      <c r="B57" s="339" t="str">
        <f>$AT$52</f>
        <v/>
      </c>
      <c r="C57" s="341" t="str">
        <f>$AU$52</f>
        <v/>
      </c>
      <c r="D57" s="342"/>
      <c r="E57" s="342"/>
      <c r="F57" s="343"/>
      <c r="G57" s="359" t="str">
        <f>IF(B57="","",$BH$52)</f>
        <v/>
      </c>
      <c r="H57" s="360"/>
      <c r="I57" s="352" t="str">
        <f>IF(OR(B$57="",BH$71&lt;1),"",VLOOKUP(1,AX$132:BB$142,2,FALSE))</f>
        <v/>
      </c>
      <c r="J57" s="353"/>
      <c r="K57" s="347" t="str">
        <f>IF(OR(B$57="",BH$71&lt;1),"",VLOOKUP(1,AX$132:BB$142,3,FALSE))</f>
        <v/>
      </c>
      <c r="L57" s="453"/>
      <c r="M57" s="348"/>
      <c r="N57" s="228" t="str">
        <f>IF(OR(B$57="",BH$71&lt;1),"",VLOOKUP(1,AX$132:BB$142,5,FALSE))</f>
        <v/>
      </c>
      <c r="O57" s="229" t="str">
        <f>IF(OR(B$57="",BH$71&lt;3),"",VLOOKUP(3,AX$132:BB$142,2,FALSE))</f>
        <v/>
      </c>
      <c r="P57" s="347" t="str">
        <f>IF(OR(B$57="",BH$71&lt;3),"",VLOOKUP(3,AX$132:BB$142,3,FALSE))</f>
        <v/>
      </c>
      <c r="Q57" s="348"/>
      <c r="R57" s="230" t="str">
        <f>IF(OR(B$57="",BH$71&lt;3),"",VLOOKUP(3,AX$132:BB$142,5,FALSE))</f>
        <v/>
      </c>
      <c r="S57" s="352" t="str">
        <f>IF(OR(B$57="",BH$71&lt;5),"",VLOOKUP(5,AX$132:BB$142,2,FALSE))</f>
        <v/>
      </c>
      <c r="T57" s="353"/>
      <c r="U57" s="231" t="str">
        <f>IF(OR(B$57="",BH$71&lt;5),"",VLOOKUP(5,AX$132:BB$142,3,FALSE))</f>
        <v/>
      </c>
      <c r="V57" s="363" t="str">
        <f>IF(OR(B$57="",BH$71&lt;5),"",VLOOKUP(5,AX$132:BB$142,5,FALSE))</f>
        <v/>
      </c>
      <c r="W57" s="364"/>
      <c r="AT57" s="183">
        <v>2</v>
      </c>
      <c r="AU57" s="177" t="s">
        <v>142</v>
      </c>
      <c r="AV57" s="177">
        <f t="shared" ref="AV57:BF57" si="40">IF(AV48=0,0,RANK(AV48,$AV48:$BF48,0))</f>
        <v>0</v>
      </c>
      <c r="AW57" s="177">
        <f t="shared" si="40"/>
        <v>0</v>
      </c>
      <c r="AX57" s="177">
        <f t="shared" si="40"/>
        <v>0</v>
      </c>
      <c r="AY57" s="177">
        <f t="shared" si="40"/>
        <v>0</v>
      </c>
      <c r="AZ57" s="177">
        <f t="shared" si="40"/>
        <v>0</v>
      </c>
      <c r="BA57" s="177">
        <f t="shared" si="40"/>
        <v>0</v>
      </c>
      <c r="BB57" s="177">
        <f t="shared" si="40"/>
        <v>0</v>
      </c>
      <c r="BC57" s="177">
        <f t="shared" si="40"/>
        <v>0</v>
      </c>
      <c r="BD57" s="177">
        <f t="shared" si="40"/>
        <v>0</v>
      </c>
      <c r="BE57" s="177">
        <f t="shared" si="40"/>
        <v>0</v>
      </c>
      <c r="BF57" s="178">
        <f t="shared" si="40"/>
        <v>0</v>
      </c>
      <c r="BH57" s="16"/>
      <c r="BI57" s="16"/>
    </row>
    <row r="58" spans="1:69" ht="20.100000000000001" customHeight="1" x14ac:dyDescent="0.3">
      <c r="B58" s="340"/>
      <c r="C58" s="344"/>
      <c r="D58" s="345"/>
      <c r="E58" s="345"/>
      <c r="F58" s="346"/>
      <c r="G58" s="361"/>
      <c r="H58" s="362"/>
      <c r="I58" s="477" t="str">
        <f>IF(OR(B$57="",BH$71&lt;2),"",VLOOKUP(2,AX$132:BB$142,2,FALSE))</f>
        <v/>
      </c>
      <c r="J58" s="478"/>
      <c r="K58" s="482" t="str">
        <f>IF(OR(B$57="",BH$71&lt;2),"",VLOOKUP(2,AX$132:BB$142,3,FALSE))</f>
        <v/>
      </c>
      <c r="L58" s="500"/>
      <c r="M58" s="483"/>
      <c r="N58" s="239" t="str">
        <f>IF(OR(B$57="",BH$71&lt;2),"",VLOOKUP(2,AX$132:BB$142,5,FALSE))</f>
        <v/>
      </c>
      <c r="O58" s="240" t="str">
        <f>IF(OR(B$57="",BH$71&lt;4),"",VLOOKUP(4,AX$132:BB$142,2,FALSE))</f>
        <v/>
      </c>
      <c r="P58" s="482" t="str">
        <f>IF(OR(B$57="",BH$71&lt;4),"",VLOOKUP(4,AX$132:BB$142,3,FALSE))</f>
        <v/>
      </c>
      <c r="Q58" s="483"/>
      <c r="R58" s="241" t="str">
        <f>IF(OR(B$57="",BH$71&lt;4),"",VLOOKUP(4,AX$132:BB$142,5,FALSE))</f>
        <v/>
      </c>
      <c r="S58" s="477" t="str">
        <f>IF(OR(B$57="",BH$71&lt;6),"",VLOOKUP(6,AX$132:BB$142,2,FALSE))</f>
        <v/>
      </c>
      <c r="T58" s="478"/>
      <c r="U58" s="242" t="str">
        <f>IF(OR(B$57="",BH$71&lt;6),"",VLOOKUP(6,AX$132:BB$142,3,FALSE))</f>
        <v/>
      </c>
      <c r="V58" s="480" t="str">
        <f>IF(OR(B$57="",BH$71&lt;6),"",VLOOKUP(6,AX$132:BB$142,5,FALSE))</f>
        <v/>
      </c>
      <c r="W58" s="481"/>
      <c r="AT58" s="179"/>
      <c r="AU58" s="16"/>
      <c r="AV58" s="16">
        <f>IF(AV57=0,0,AV57+120)</f>
        <v>0</v>
      </c>
      <c r="AW58" s="16">
        <f>IF(AW57=0,0,AW57+108)</f>
        <v>0</v>
      </c>
      <c r="AX58" s="16">
        <f>IF(AX57=0,0,AX57+60)</f>
        <v>0</v>
      </c>
      <c r="AY58" s="16">
        <f>IF(AY57=0,0,AY57+96)</f>
        <v>0</v>
      </c>
      <c r="AZ58" s="16">
        <f>IF(AZ57=0,0,AZ57+84)</f>
        <v>0</v>
      </c>
      <c r="BA58" s="16">
        <f>IF(BA57=0,0,BA57+72)</f>
        <v>0</v>
      </c>
      <c r="BB58" s="16">
        <f>IF(BB57=0,0,BB57+48)</f>
        <v>0</v>
      </c>
      <c r="BC58" s="16">
        <f>IF(BC57=0,0,BC57+36)</f>
        <v>0</v>
      </c>
      <c r="BD58" s="16">
        <f>IF(BD57=0,0,BD57+24)</f>
        <v>0</v>
      </c>
      <c r="BE58" s="16">
        <f>IF(BE57=0,0,BE57+12)</f>
        <v>0</v>
      </c>
      <c r="BF58" s="180">
        <f>IF(BF57=0,0,BF57+0)</f>
        <v>0</v>
      </c>
      <c r="BH58" s="16"/>
      <c r="BI58" s="16"/>
    </row>
    <row r="59" spans="1:69" ht="6" customHeight="1" thickBot="1" x14ac:dyDescent="0.35"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AT59" s="181"/>
      <c r="AU59" s="103"/>
      <c r="AV59" s="103">
        <f>IF(AV58=0,0,RANK(AV58,$AV58:$BF58,0))</f>
        <v>0</v>
      </c>
      <c r="AW59" s="103">
        <f t="shared" ref="AW59" si="41">IF(AW58=0,0,RANK(AW58,$AV58:$BF58,0))</f>
        <v>0</v>
      </c>
      <c r="AX59" s="103">
        <f t="shared" ref="AX59" si="42">IF(AX58=0,0,RANK(AX58,$AV58:$BF58,0))</f>
        <v>0</v>
      </c>
      <c r="AY59" s="103">
        <f t="shared" ref="AY59" si="43">IF(AY58=0,0,RANK(AY58,$AV58:$BF58,0))</f>
        <v>0</v>
      </c>
      <c r="AZ59" s="103">
        <f t="shared" ref="AZ59" si="44">IF(AZ58=0,0,RANK(AZ58,$AV58:$BF58,0))</f>
        <v>0</v>
      </c>
      <c r="BA59" s="103">
        <f t="shared" ref="BA59" si="45">IF(BA58=0,0,RANK(BA58,$AV58:$BF58,0))</f>
        <v>0</v>
      </c>
      <c r="BB59" s="103">
        <f t="shared" ref="BB59" si="46">IF(BB58=0,0,RANK(BB58,$AV58:$BF58,0))</f>
        <v>0</v>
      </c>
      <c r="BC59" s="103">
        <f t="shared" ref="BC59" si="47">IF(BC58=0,0,RANK(BC58,$AV58:$BF58,0))</f>
        <v>0</v>
      </c>
      <c r="BD59" s="103">
        <f t="shared" ref="BD59" si="48">IF(BD58=0,0,RANK(BD58,$AV58:$BF58,0))</f>
        <v>0</v>
      </c>
      <c r="BE59" s="103">
        <f t="shared" ref="BE59" si="49">IF(BE58=0,0,RANK(BE58,$AV58:$BF58,0))</f>
        <v>0</v>
      </c>
      <c r="BF59" s="182">
        <f t="shared" ref="BF59" si="50">IF(BF58=0,0,RANK(BF58,$AV58:$BF58,0))</f>
        <v>0</v>
      </c>
      <c r="BH59" s="103">
        <f>COUNTIF(AV59:BF59,"&gt;0")</f>
        <v>0</v>
      </c>
      <c r="BI59" s="103"/>
      <c r="BK59" s="1"/>
    </row>
    <row r="60" spans="1:69" ht="15" customHeight="1" x14ac:dyDescent="0.3">
      <c r="B60" s="54"/>
      <c r="C60" s="55"/>
      <c r="D60" s="55"/>
      <c r="E60" s="55"/>
      <c r="F60" s="55"/>
      <c r="G60" s="55"/>
      <c r="H60" s="56"/>
      <c r="I60" s="55"/>
      <c r="J60" s="55"/>
      <c r="K60" s="55"/>
      <c r="L60" s="135"/>
      <c r="M60" s="57"/>
      <c r="N60" s="285" t="s">
        <v>69</v>
      </c>
      <c r="O60" s="285"/>
      <c r="P60" s="285"/>
      <c r="Q60" s="285"/>
      <c r="R60" s="285"/>
      <c r="S60" s="285"/>
      <c r="T60" s="285"/>
      <c r="U60" s="285"/>
      <c r="V60" s="285"/>
      <c r="W60" s="58"/>
      <c r="AI60" s="523" t="s">
        <v>135</v>
      </c>
      <c r="AJ60" s="523"/>
      <c r="AK60" s="523"/>
      <c r="AL60" s="523"/>
      <c r="AM60" s="523"/>
      <c r="AN60" s="523"/>
      <c r="AO60" s="523"/>
      <c r="AP60" s="243"/>
      <c r="AQ60" s="244"/>
      <c r="AR60" s="243"/>
      <c r="AS60" s="243"/>
      <c r="AT60" s="196">
        <v>3</v>
      </c>
      <c r="AU60" s="97" t="s">
        <v>142</v>
      </c>
      <c r="AV60" s="177">
        <f t="shared" ref="AV60:BF60" si="51">IF(AV49=0,0,RANK(AV49,$AV49:$BF49,0))</f>
        <v>0</v>
      </c>
      <c r="AW60" s="177">
        <f t="shared" si="51"/>
        <v>0</v>
      </c>
      <c r="AX60" s="177">
        <f t="shared" si="51"/>
        <v>0</v>
      </c>
      <c r="AY60" s="177">
        <f t="shared" si="51"/>
        <v>0</v>
      </c>
      <c r="AZ60" s="177">
        <f t="shared" si="51"/>
        <v>0</v>
      </c>
      <c r="BA60" s="177">
        <f t="shared" si="51"/>
        <v>0</v>
      </c>
      <c r="BB60" s="177">
        <f t="shared" si="51"/>
        <v>0</v>
      </c>
      <c r="BC60" s="177">
        <f t="shared" si="51"/>
        <v>0</v>
      </c>
      <c r="BD60" s="177">
        <f t="shared" si="51"/>
        <v>0</v>
      </c>
      <c r="BE60" s="177">
        <f t="shared" si="51"/>
        <v>0</v>
      </c>
      <c r="BF60" s="178">
        <f t="shared" si="51"/>
        <v>0</v>
      </c>
      <c r="BH60" s="16"/>
      <c r="BI60" s="16"/>
    </row>
    <row r="61" spans="1:69" ht="15" customHeight="1" x14ac:dyDescent="0.3">
      <c r="B61" s="287" t="s">
        <v>70</v>
      </c>
      <c r="C61" s="288"/>
      <c r="D61" s="288"/>
      <c r="E61" s="288"/>
      <c r="F61" s="32"/>
      <c r="G61" s="32"/>
      <c r="H61" s="32"/>
      <c r="I61" s="32"/>
      <c r="J61" s="32"/>
      <c r="K61" s="19"/>
      <c r="L61" s="61"/>
      <c r="M61" s="59"/>
      <c r="N61" s="286"/>
      <c r="O61" s="286"/>
      <c r="P61" s="286"/>
      <c r="Q61" s="286"/>
      <c r="R61" s="286"/>
      <c r="S61" s="286"/>
      <c r="T61" s="286"/>
      <c r="U61" s="286"/>
      <c r="V61" s="286"/>
      <c r="W61" s="59"/>
      <c r="AI61" s="16">
        <f>'Kosten-Stellen'!B50</f>
        <v>2566</v>
      </c>
      <c r="AJ61" s="278" t="str">
        <f>'Kosten-Stellen'!C50</f>
        <v>Mietwagen/ Bus</v>
      </c>
      <c r="AK61" s="278"/>
      <c r="AL61" s="278" t="str">
        <f>'Kosten-Stellen'!D50</f>
        <v>inkl. Benzin</v>
      </c>
      <c r="AM61" s="278"/>
      <c r="AN61" s="278"/>
      <c r="AO61" s="278"/>
      <c r="AP61" s="156"/>
      <c r="AQ61" s="111"/>
      <c r="AR61" s="112"/>
      <c r="AS61" s="112"/>
      <c r="AT61" s="179"/>
      <c r="AU61" s="16"/>
      <c r="AV61" s="16">
        <f>IF(AV60=0,0,AV60+120)</f>
        <v>0</v>
      </c>
      <c r="AW61" s="16">
        <f>IF(AW60=0,0,AW60+108)</f>
        <v>0</v>
      </c>
      <c r="AX61" s="16">
        <f>IF(AX60=0,0,AX60+60)</f>
        <v>0</v>
      </c>
      <c r="AY61" s="16">
        <f>IF(AY60=0,0,AY60+96)</f>
        <v>0</v>
      </c>
      <c r="AZ61" s="16">
        <f>IF(AZ60=0,0,AZ60+84)</f>
        <v>0</v>
      </c>
      <c r="BA61" s="16">
        <f>IF(BA60=0,0,BA60+72)</f>
        <v>0</v>
      </c>
      <c r="BB61" s="16">
        <f>IF(BB60=0,0,BB60+48)</f>
        <v>0</v>
      </c>
      <c r="BC61" s="16">
        <f>IF(BC60=0,0,BC60+36)</f>
        <v>0</v>
      </c>
      <c r="BD61" s="16">
        <f>IF(BD60=0,0,BD60+24)</f>
        <v>0</v>
      </c>
      <c r="BE61" s="16">
        <f>IF(BE60=0,0,BE60+12)</f>
        <v>0</v>
      </c>
      <c r="BF61" s="180">
        <f>IF(BF60=0,0,BF60+0)</f>
        <v>0</v>
      </c>
      <c r="BH61" s="16"/>
      <c r="BI61" s="16"/>
    </row>
    <row r="62" spans="1:69" ht="15" customHeight="1" thickBot="1" x14ac:dyDescent="0.35">
      <c r="B62" s="307">
        <v>0.33333333333333331</v>
      </c>
      <c r="C62" s="308"/>
      <c r="D62" s="14" t="s">
        <v>17</v>
      </c>
      <c r="E62" s="148">
        <v>0.58333333333333337</v>
      </c>
      <c r="F62" s="19" t="s">
        <v>153</v>
      </c>
      <c r="H62" s="274">
        <v>12</v>
      </c>
      <c r="I62" s="274"/>
      <c r="J62" s="60"/>
      <c r="K62" s="60"/>
      <c r="L62" s="61"/>
      <c r="M62" s="59"/>
      <c r="N62" s="61"/>
      <c r="O62" s="289"/>
      <c r="P62" s="290"/>
      <c r="Q62" s="61"/>
      <c r="R62" s="292"/>
      <c r="S62" s="292"/>
      <c r="T62" s="292"/>
      <c r="U62" s="292"/>
      <c r="V62" s="292"/>
      <c r="W62" s="59"/>
      <c r="AI62" s="16">
        <f>'Kosten-Stellen'!B51</f>
        <v>2567</v>
      </c>
      <c r="AJ62" s="278" t="str">
        <f>'Kosten-Stellen'!C51</f>
        <v>Hotel-Kosten</v>
      </c>
      <c r="AK62" s="278"/>
      <c r="AL62" s="278" t="str">
        <f>'Kosten-Stellen'!D51</f>
        <v>Übernachtungs-Kosten</v>
      </c>
      <c r="AM62" s="278"/>
      <c r="AN62" s="278"/>
      <c r="AO62" s="278"/>
      <c r="AP62" s="156"/>
      <c r="AQ62" s="14"/>
      <c r="AR62" s="156"/>
      <c r="AS62" s="156"/>
      <c r="AT62" s="181"/>
      <c r="AU62" s="103"/>
      <c r="AV62" s="103">
        <f>IF(AV61=0,0,RANK(AV61,$AV61:$BF61,0))</f>
        <v>0</v>
      </c>
      <c r="AW62" s="103">
        <f t="shared" ref="AW62" si="52">IF(AW61=0,0,RANK(AW61,$AV61:$BF61,0))</f>
        <v>0</v>
      </c>
      <c r="AX62" s="103">
        <f t="shared" ref="AX62" si="53">IF(AX61=0,0,RANK(AX61,$AV61:$BF61,0))</f>
        <v>0</v>
      </c>
      <c r="AY62" s="103">
        <f t="shared" ref="AY62" si="54">IF(AY61=0,0,RANK(AY61,$AV61:$BF61,0))</f>
        <v>0</v>
      </c>
      <c r="AZ62" s="103">
        <f t="shared" ref="AZ62" si="55">IF(AZ61=0,0,RANK(AZ61,$AV61:$BF61,0))</f>
        <v>0</v>
      </c>
      <c r="BA62" s="103">
        <f t="shared" ref="BA62" si="56">IF(BA61=0,0,RANK(BA61,$AV61:$BF61,0))</f>
        <v>0</v>
      </c>
      <c r="BB62" s="103">
        <f t="shared" ref="BB62" si="57">IF(BB61=0,0,RANK(BB61,$AV61:$BF61,0))</f>
        <v>0</v>
      </c>
      <c r="BC62" s="103">
        <f t="shared" ref="BC62" si="58">IF(BC61=0,0,RANK(BC61,$AV61:$BF61,0))</f>
        <v>0</v>
      </c>
      <c r="BD62" s="103">
        <f t="shared" ref="BD62" si="59">IF(BD61=0,0,RANK(BD61,$AV61:$BF61,0))</f>
        <v>0</v>
      </c>
      <c r="BE62" s="103">
        <f t="shared" ref="BE62" si="60">IF(BE61=0,0,RANK(BE61,$AV61:$BF61,0))</f>
        <v>0</v>
      </c>
      <c r="BF62" s="182">
        <f t="shared" ref="BF62" si="61">IF(BF61=0,0,RANK(BF61,$AV61:$BF61,0))</f>
        <v>0</v>
      </c>
      <c r="BH62" s="103">
        <f>COUNTIF(AV62:BF62,"&gt;0")</f>
        <v>0</v>
      </c>
      <c r="BI62" s="103"/>
    </row>
    <row r="63" spans="1:69" s="65" customFormat="1" ht="15" customHeight="1" x14ac:dyDescent="0.3">
      <c r="A63" s="249"/>
      <c r="B63" s="307">
        <v>0.58333333333333337</v>
      </c>
      <c r="C63" s="308"/>
      <c r="D63" s="14" t="s">
        <v>17</v>
      </c>
      <c r="E63" s="148">
        <v>1</v>
      </c>
      <c r="F63" s="19" t="s">
        <v>153</v>
      </c>
      <c r="H63" s="274">
        <v>12</v>
      </c>
      <c r="I63" s="274"/>
      <c r="J63" s="60"/>
      <c r="K63" s="60"/>
      <c r="L63" s="61"/>
      <c r="M63" s="59"/>
      <c r="N63" s="61"/>
      <c r="O63" s="291"/>
      <c r="P63" s="291"/>
      <c r="Q63" s="61"/>
      <c r="R63" s="293"/>
      <c r="S63" s="293"/>
      <c r="T63" s="293"/>
      <c r="U63" s="293"/>
      <c r="V63" s="293"/>
      <c r="W63" s="59"/>
      <c r="X63" s="61"/>
      <c r="Y63" s="62"/>
      <c r="Z63" s="63"/>
      <c r="AA63" s="63"/>
      <c r="AB63" s="63"/>
      <c r="AC63" s="63"/>
      <c r="AD63" s="63"/>
      <c r="AE63" s="63"/>
      <c r="AF63" s="63"/>
      <c r="AG63" s="64"/>
      <c r="AH63" s="22"/>
      <c r="AI63" s="16">
        <f>'Kosten-Stellen'!B52</f>
        <v>2568</v>
      </c>
      <c r="AJ63" s="278" t="str">
        <f>'Kosten-Stellen'!C52</f>
        <v>Sportschule</v>
      </c>
      <c r="AK63" s="278"/>
      <c r="AL63" s="278" t="str">
        <f>'Kosten-Stellen'!D52</f>
        <v>Übernachtungs-Kosten</v>
      </c>
      <c r="AM63" s="278"/>
      <c r="AN63" s="278"/>
      <c r="AO63" s="278"/>
      <c r="AP63" s="156"/>
      <c r="AQ63" s="14"/>
      <c r="AR63" s="156"/>
      <c r="AS63" s="156"/>
      <c r="AT63" s="183">
        <v>4</v>
      </c>
      <c r="AU63" s="177" t="s">
        <v>142</v>
      </c>
      <c r="AV63" s="177">
        <f t="shared" ref="AV63:BF63" si="62">IF(AV50=0,0,RANK(AV50,$AV50:$BF50,0))</f>
        <v>0</v>
      </c>
      <c r="AW63" s="177">
        <f t="shared" si="62"/>
        <v>0</v>
      </c>
      <c r="AX63" s="177">
        <f t="shared" si="62"/>
        <v>0</v>
      </c>
      <c r="AY63" s="177">
        <f t="shared" si="62"/>
        <v>0</v>
      </c>
      <c r="AZ63" s="177">
        <f t="shared" si="62"/>
        <v>0</v>
      </c>
      <c r="BA63" s="177">
        <f t="shared" si="62"/>
        <v>0</v>
      </c>
      <c r="BB63" s="177">
        <f t="shared" si="62"/>
        <v>0</v>
      </c>
      <c r="BC63" s="177">
        <f t="shared" si="62"/>
        <v>0</v>
      </c>
      <c r="BD63" s="177">
        <f t="shared" si="62"/>
        <v>0</v>
      </c>
      <c r="BE63" s="177">
        <f t="shared" si="62"/>
        <v>0</v>
      </c>
      <c r="BF63" s="178">
        <f t="shared" si="62"/>
        <v>0</v>
      </c>
      <c r="BG63" s="19"/>
      <c r="BH63" s="16"/>
      <c r="BI63" s="16"/>
      <c r="BJ63" s="22"/>
      <c r="BK63" s="22"/>
      <c r="BL63" s="22"/>
      <c r="BM63" s="22"/>
      <c r="BN63" s="22"/>
      <c r="BO63" s="22"/>
      <c r="BP63" s="22"/>
      <c r="BQ63" s="22"/>
    </row>
    <row r="64" spans="1:69" ht="15" customHeight="1" thickBot="1" x14ac:dyDescent="0.35">
      <c r="B64" s="69"/>
      <c r="C64" s="119"/>
      <c r="D64" s="169" t="s">
        <v>154</v>
      </c>
      <c r="E64" s="148">
        <v>1</v>
      </c>
      <c r="F64" s="19" t="s">
        <v>153</v>
      </c>
      <c r="H64" s="274">
        <v>24</v>
      </c>
      <c r="I64" s="274"/>
      <c r="J64" s="66"/>
      <c r="K64" s="67"/>
      <c r="M64" s="68"/>
      <c r="O64" s="310" t="s">
        <v>1</v>
      </c>
      <c r="P64" s="310"/>
      <c r="Q64" s="70"/>
      <c r="R64" s="310" t="s">
        <v>2</v>
      </c>
      <c r="S64" s="310"/>
      <c r="T64" s="310"/>
      <c r="U64" s="310"/>
      <c r="V64" s="310"/>
      <c r="W64" s="71"/>
      <c r="Y64" s="72"/>
      <c r="Z64" s="73"/>
      <c r="AA64" s="73"/>
      <c r="AB64" s="73"/>
      <c r="AC64" s="73"/>
      <c r="AD64" s="73"/>
      <c r="AE64" s="73"/>
      <c r="AF64" s="73"/>
      <c r="AG64" s="74"/>
      <c r="AI64" s="16">
        <f>'Kosten-Stellen'!B53</f>
        <v>2570</v>
      </c>
      <c r="AJ64" s="278" t="str">
        <f>'Kosten-Stellen'!C53</f>
        <v>Bewirtung</v>
      </c>
      <c r="AK64" s="278"/>
      <c r="AL64" s="278">
        <f>'Kosten-Stellen'!D53</f>
        <v>0</v>
      </c>
      <c r="AM64" s="278"/>
      <c r="AN64" s="278"/>
      <c r="AO64" s="278"/>
      <c r="AP64" s="156"/>
      <c r="AQ64" s="111"/>
      <c r="AR64" s="112"/>
      <c r="AS64" s="112"/>
      <c r="AT64" s="179"/>
      <c r="AU64" s="16"/>
      <c r="AV64" s="16">
        <f>IF(AV63=0,0,AV63+120)</f>
        <v>0</v>
      </c>
      <c r="AW64" s="16">
        <f>IF(AW63=0,0,AW63+108)</f>
        <v>0</v>
      </c>
      <c r="AX64" s="16">
        <f>IF(AX63=0,0,AX63+60)</f>
        <v>0</v>
      </c>
      <c r="AY64" s="16">
        <f>IF(AY63=0,0,AY63+96)</f>
        <v>0</v>
      </c>
      <c r="AZ64" s="16">
        <f>IF(AZ63=0,0,AZ63+84)</f>
        <v>0</v>
      </c>
      <c r="BA64" s="16">
        <f>IF(BA63=0,0,BA63+72)</f>
        <v>0</v>
      </c>
      <c r="BB64" s="16">
        <f>IF(BB63=0,0,BB63+48)</f>
        <v>0</v>
      </c>
      <c r="BC64" s="16">
        <f>IF(BC63=0,0,BC63+36)</f>
        <v>0</v>
      </c>
      <c r="BD64" s="16">
        <f>IF(BD63=0,0,BD63+24)</f>
        <v>0</v>
      </c>
      <c r="BE64" s="16">
        <f>IF(BE63=0,0,BE63+12)</f>
        <v>0</v>
      </c>
      <c r="BF64" s="180">
        <f>IF(BF63=0,0,BF63+0)</f>
        <v>0</v>
      </c>
      <c r="BH64" s="16"/>
      <c r="BI64" s="16"/>
      <c r="BK64"/>
    </row>
    <row r="65" spans="2:61" ht="15" customHeight="1" thickTop="1" thickBot="1" x14ac:dyDescent="0.3">
      <c r="B65" s="162"/>
      <c r="C65" s="19"/>
      <c r="D65" s="19"/>
      <c r="E65" s="19"/>
      <c r="F65" s="19"/>
      <c r="G65" s="19"/>
      <c r="H65" s="19"/>
      <c r="I65" s="19"/>
      <c r="J65" s="19"/>
      <c r="K65" s="19"/>
      <c r="M65" s="68"/>
      <c r="N65" s="479" t="s">
        <v>151</v>
      </c>
      <c r="O65" s="479"/>
      <c r="P65" s="479"/>
      <c r="Q65" s="75"/>
      <c r="R65" s="75"/>
      <c r="S65" s="75"/>
      <c r="T65" s="75"/>
      <c r="U65" s="75"/>
      <c r="V65" s="75"/>
      <c r="W65" s="76"/>
      <c r="Y65" s="72"/>
      <c r="Z65" s="73"/>
      <c r="AA65" s="73"/>
      <c r="AB65" s="73"/>
      <c r="AC65" s="73"/>
      <c r="AD65" s="73"/>
      <c r="AE65" s="73"/>
      <c r="AF65" s="73"/>
      <c r="AG65" s="74"/>
      <c r="AI65" s="16">
        <f>'Kosten-Stellen'!B54</f>
        <v>2661</v>
      </c>
      <c r="AJ65" s="278" t="str">
        <f>'Kosten-Stellen'!C54</f>
        <v>Raummiete</v>
      </c>
      <c r="AK65" s="278"/>
      <c r="AL65" s="278" t="str">
        <f>'Kosten-Stellen'!D54</f>
        <v>Miete für Räume für alle Veranstaltungen</v>
      </c>
      <c r="AM65" s="278"/>
      <c r="AN65" s="278"/>
      <c r="AO65" s="278"/>
      <c r="AP65" s="156"/>
      <c r="AQ65" s="111"/>
      <c r="AR65" s="112"/>
      <c r="AS65" s="112"/>
      <c r="AT65" s="181"/>
      <c r="AU65" s="103"/>
      <c r="AV65" s="103">
        <f>IF(AV64=0,0,RANK(AV64,$AV64:$BF64,0))</f>
        <v>0</v>
      </c>
      <c r="AW65" s="103">
        <f t="shared" ref="AW65" si="63">IF(AW64=0,0,RANK(AW64,$AV64:$BF64,0))</f>
        <v>0</v>
      </c>
      <c r="AX65" s="103">
        <f t="shared" ref="AX65" si="64">IF(AX64=0,0,RANK(AX64,$AV64:$BF64,0))</f>
        <v>0</v>
      </c>
      <c r="AY65" s="103">
        <f t="shared" ref="AY65" si="65">IF(AY64=0,0,RANK(AY64,$AV64:$BF64,0))</f>
        <v>0</v>
      </c>
      <c r="AZ65" s="103">
        <f t="shared" ref="AZ65" si="66">IF(AZ64=0,0,RANK(AZ64,$AV64:$BF64,0))</f>
        <v>0</v>
      </c>
      <c r="BA65" s="103">
        <f t="shared" ref="BA65" si="67">IF(BA64=0,0,RANK(BA64,$AV64:$BF64,0))</f>
        <v>0</v>
      </c>
      <c r="BB65" s="103">
        <f t="shared" ref="BB65" si="68">IF(BB64=0,0,RANK(BB64,$AV64:$BF64,0))</f>
        <v>0</v>
      </c>
      <c r="BC65" s="103">
        <f t="shared" ref="BC65" si="69">IF(BC64=0,0,RANK(BC64,$AV64:$BF64,0))</f>
        <v>0</v>
      </c>
      <c r="BD65" s="103">
        <f t="shared" ref="BD65" si="70">IF(BD64=0,0,RANK(BD64,$AV64:$BF64,0))</f>
        <v>0</v>
      </c>
      <c r="BE65" s="103">
        <f t="shared" ref="BE65" si="71">IF(BE64=0,0,RANK(BE64,$AV64:$BF64,0))</f>
        <v>0</v>
      </c>
      <c r="BF65" s="182">
        <f t="shared" ref="BF65" si="72">IF(BF64=0,0,RANK(BF64,$AV64:$BF64,0))</f>
        <v>0</v>
      </c>
      <c r="BH65" s="103">
        <f>COUNTIF(AV65:BF65,"&gt;0")</f>
        <v>0</v>
      </c>
      <c r="BI65" s="103"/>
    </row>
    <row r="66" spans="2:61" ht="15" customHeight="1" x14ac:dyDescent="0.25">
      <c r="B66" s="294" t="s">
        <v>71</v>
      </c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95"/>
      <c r="N66" s="77"/>
      <c r="O66" s="77"/>
      <c r="P66" s="77"/>
      <c r="Q66" s="77"/>
      <c r="R66" s="77"/>
      <c r="S66" s="77"/>
      <c r="T66" s="77"/>
      <c r="U66" s="77"/>
      <c r="V66" s="77"/>
      <c r="W66" s="78"/>
      <c r="Y66" s="72"/>
      <c r="Z66" s="73"/>
      <c r="AA66" s="73"/>
      <c r="AB66" s="73"/>
      <c r="AC66" s="73"/>
      <c r="AD66" s="73"/>
      <c r="AE66" s="73"/>
      <c r="AF66" s="73"/>
      <c r="AG66" s="74"/>
      <c r="AI66" s="16">
        <f>'Kosten-Stellen'!B55</f>
        <v>2704</v>
      </c>
      <c r="AJ66" s="278" t="str">
        <f>'Kosten-Stellen'!C55</f>
        <v>Sonst. Reisekosten</v>
      </c>
      <c r="AK66" s="278"/>
      <c r="AL66" s="278" t="str">
        <f>'Kosten-Stellen'!D55</f>
        <v>Vignetten, Parkgebühren</v>
      </c>
      <c r="AM66" s="278"/>
      <c r="AN66" s="278"/>
      <c r="AO66" s="278"/>
      <c r="AP66" s="156"/>
      <c r="AQ66" s="111"/>
      <c r="AR66" s="112"/>
      <c r="AS66" s="112"/>
      <c r="AT66" s="183">
        <v>5</v>
      </c>
      <c r="AU66" s="177" t="s">
        <v>142</v>
      </c>
      <c r="AV66" s="177">
        <f t="shared" ref="AV66:BF66" si="73">IF(AV51=0,0,RANK(AV51,$AV51:$BF51,0))</f>
        <v>0</v>
      </c>
      <c r="AW66" s="177">
        <f t="shared" si="73"/>
        <v>0</v>
      </c>
      <c r="AX66" s="177">
        <f t="shared" si="73"/>
        <v>0</v>
      </c>
      <c r="AY66" s="177">
        <f t="shared" si="73"/>
        <v>0</v>
      </c>
      <c r="AZ66" s="177">
        <f t="shared" si="73"/>
        <v>0</v>
      </c>
      <c r="BA66" s="177">
        <f t="shared" si="73"/>
        <v>0</v>
      </c>
      <c r="BB66" s="177">
        <f t="shared" si="73"/>
        <v>0</v>
      </c>
      <c r="BC66" s="177">
        <f t="shared" si="73"/>
        <v>0</v>
      </c>
      <c r="BD66" s="177">
        <f t="shared" si="73"/>
        <v>0</v>
      </c>
      <c r="BE66" s="177">
        <f t="shared" si="73"/>
        <v>0</v>
      </c>
      <c r="BF66" s="178">
        <f t="shared" si="73"/>
        <v>0</v>
      </c>
      <c r="BH66" s="16"/>
      <c r="BI66" s="16"/>
    </row>
    <row r="67" spans="2:61" ht="15" customHeight="1" x14ac:dyDescent="0.25">
      <c r="B67" s="474" t="s">
        <v>72</v>
      </c>
      <c r="C67" s="475"/>
      <c r="D67" s="475"/>
      <c r="E67" s="475"/>
      <c r="F67" s="475"/>
      <c r="G67" s="475"/>
      <c r="H67" s="130">
        <v>4.8</v>
      </c>
      <c r="I67" s="19"/>
      <c r="J67" s="19"/>
      <c r="K67" s="19"/>
      <c r="L67" s="61"/>
      <c r="M67" s="59"/>
      <c r="N67" s="61"/>
      <c r="O67" s="289"/>
      <c r="P67" s="290"/>
      <c r="Q67" s="61"/>
      <c r="R67" s="292"/>
      <c r="S67" s="292"/>
      <c r="T67" s="292"/>
      <c r="U67" s="292"/>
      <c r="V67" s="292"/>
      <c r="W67" s="59"/>
      <c r="Y67" s="72"/>
      <c r="Z67" s="73"/>
      <c r="AA67" s="73"/>
      <c r="AB67" s="73"/>
      <c r="AC67" s="73"/>
      <c r="AD67" s="73"/>
      <c r="AE67" s="73"/>
      <c r="AF67" s="73"/>
      <c r="AG67" s="74"/>
      <c r="AI67" s="16">
        <f>'Kosten-Stellen'!B56</f>
        <v>2802</v>
      </c>
      <c r="AJ67" s="278" t="str">
        <f>'Kosten-Stellen'!C56</f>
        <v>Geschenke</v>
      </c>
      <c r="AK67" s="278"/>
      <c r="AL67" s="278" t="str">
        <f>'Kosten-Stellen'!D56</f>
        <v>Jubiläen, Ehrungen, Medaillen</v>
      </c>
      <c r="AM67" s="278"/>
      <c r="AN67" s="278"/>
      <c r="AO67" s="278"/>
      <c r="AP67" s="156"/>
      <c r="AQ67" s="111"/>
      <c r="AR67" s="112"/>
      <c r="AS67" s="112"/>
      <c r="AT67" s="179"/>
      <c r="AU67" s="16"/>
      <c r="AV67" s="16">
        <f>IF(AV66=0,0,AV66+120)</f>
        <v>0</v>
      </c>
      <c r="AW67" s="16">
        <f>IF(AW66=0,0,AW66+108)</f>
        <v>0</v>
      </c>
      <c r="AX67" s="16">
        <f>IF(AX66=0,0,AX66+60)</f>
        <v>0</v>
      </c>
      <c r="AY67" s="16">
        <f>IF(AY66=0,0,AY66+96)</f>
        <v>0</v>
      </c>
      <c r="AZ67" s="16">
        <f>IF(AZ66=0,0,AZ66+84)</f>
        <v>0</v>
      </c>
      <c r="BA67" s="16">
        <f>IF(BA66=0,0,BA66+72)</f>
        <v>0</v>
      </c>
      <c r="BB67" s="16">
        <f>IF(BB66=0,0,BB66+48)</f>
        <v>0</v>
      </c>
      <c r="BC67" s="16">
        <f>IF(BC66=0,0,BC66+36)</f>
        <v>0</v>
      </c>
      <c r="BD67" s="16">
        <f>IF(BD66=0,0,BD66+24)</f>
        <v>0</v>
      </c>
      <c r="BE67" s="16">
        <f>IF(BE66=0,0,BE66+12)</f>
        <v>0</v>
      </c>
      <c r="BF67" s="180">
        <f>IF(BF66=0,0,BF66+0)</f>
        <v>0</v>
      </c>
      <c r="BH67" s="16"/>
      <c r="BI67" s="16"/>
    </row>
    <row r="68" spans="2:61" ht="15" customHeight="1" thickBot="1" x14ac:dyDescent="0.3">
      <c r="B68" s="474" t="s">
        <v>73</v>
      </c>
      <c r="C68" s="475"/>
      <c r="D68" s="475"/>
      <c r="E68" s="475"/>
      <c r="F68" s="475"/>
      <c r="G68" s="475"/>
      <c r="H68" s="130">
        <v>9.6</v>
      </c>
      <c r="I68" s="66"/>
      <c r="J68" s="66"/>
      <c r="K68" s="67"/>
      <c r="L68" s="61"/>
      <c r="M68" s="59"/>
      <c r="N68" s="61"/>
      <c r="O68" s="291"/>
      <c r="P68" s="291"/>
      <c r="Q68" s="61"/>
      <c r="R68" s="293"/>
      <c r="S68" s="293"/>
      <c r="T68" s="293"/>
      <c r="U68" s="293"/>
      <c r="V68" s="293"/>
      <c r="W68" s="59"/>
      <c r="Y68" s="72"/>
      <c r="Z68" s="73"/>
      <c r="AA68" s="73"/>
      <c r="AB68" s="73"/>
      <c r="AC68" s="73"/>
      <c r="AD68" s="73"/>
      <c r="AE68" s="73"/>
      <c r="AF68" s="73"/>
      <c r="AG68" s="74"/>
      <c r="AI68" s="16">
        <f>'Kosten-Stellen'!B57</f>
        <v>2810</v>
      </c>
      <c r="AJ68" s="278" t="str">
        <f>'Kosten-Stellen'!C57</f>
        <v>Repräsentation</v>
      </c>
      <c r="AK68" s="278"/>
      <c r="AL68" s="278">
        <f>'Kosten-Stellen'!D57</f>
        <v>0</v>
      </c>
      <c r="AM68" s="278"/>
      <c r="AN68" s="278"/>
      <c r="AO68" s="278"/>
      <c r="AP68" s="156"/>
      <c r="AT68" s="187"/>
      <c r="AU68" s="184"/>
      <c r="AV68" s="103">
        <f>IF(AV67=0,0,RANK(AV67,$AV67:$BF67,0))</f>
        <v>0</v>
      </c>
      <c r="AW68" s="103">
        <f t="shared" ref="AW68" si="74">IF(AW67=0,0,RANK(AW67,$AV67:$BF67,0))</f>
        <v>0</v>
      </c>
      <c r="AX68" s="103">
        <f t="shared" ref="AX68" si="75">IF(AX67=0,0,RANK(AX67,$AV67:$BF67,0))</f>
        <v>0</v>
      </c>
      <c r="AY68" s="103">
        <f t="shared" ref="AY68" si="76">IF(AY67=0,0,RANK(AY67,$AV67:$BF67,0))</f>
        <v>0</v>
      </c>
      <c r="AZ68" s="103">
        <f t="shared" ref="AZ68" si="77">IF(AZ67=0,0,RANK(AZ67,$AV67:$BF67,0))</f>
        <v>0</v>
      </c>
      <c r="BA68" s="103">
        <f t="shared" ref="BA68" si="78">IF(BA67=0,0,RANK(BA67,$AV67:$BF67,0))</f>
        <v>0</v>
      </c>
      <c r="BB68" s="103">
        <f t="shared" ref="BB68" si="79">IF(BB67=0,0,RANK(BB67,$AV67:$BF67,0))</f>
        <v>0</v>
      </c>
      <c r="BC68" s="103">
        <f t="shared" ref="BC68" si="80">IF(BC67=0,0,RANK(BC67,$AV67:$BF67,0))</f>
        <v>0</v>
      </c>
      <c r="BD68" s="103">
        <f t="shared" ref="BD68" si="81">IF(BD67=0,0,RANK(BD67,$AV67:$BF67,0))</f>
        <v>0</v>
      </c>
      <c r="BE68" s="103">
        <f t="shared" ref="BE68" si="82">IF(BE67=0,0,RANK(BE67,$AV67:$BF67,0))</f>
        <v>0</v>
      </c>
      <c r="BF68" s="182">
        <f t="shared" ref="BF68" si="83">IF(BF67=0,0,RANK(BF67,$AV67:$BF67,0))</f>
        <v>0</v>
      </c>
      <c r="BH68" s="103">
        <f>COUNTIF(AV68:BF68,"&gt;0")</f>
        <v>0</v>
      </c>
      <c r="BI68" s="103"/>
    </row>
    <row r="69" spans="2:61" ht="15" customHeight="1" x14ac:dyDescent="0.25">
      <c r="B69" s="162"/>
      <c r="C69" s="19"/>
      <c r="D69" s="19"/>
      <c r="E69" s="19"/>
      <c r="F69" s="19"/>
      <c r="G69" s="19"/>
      <c r="H69" s="19"/>
      <c r="I69" s="19"/>
      <c r="J69" s="19"/>
      <c r="K69" s="19"/>
      <c r="M69" s="68"/>
      <c r="N69" s="87"/>
      <c r="O69" s="312" t="s">
        <v>1</v>
      </c>
      <c r="P69" s="312"/>
      <c r="Q69" s="80"/>
      <c r="R69" s="312" t="s">
        <v>2</v>
      </c>
      <c r="S69" s="312"/>
      <c r="T69" s="312"/>
      <c r="U69" s="312"/>
      <c r="V69" s="312"/>
      <c r="W69" s="81"/>
      <c r="Y69" s="72"/>
      <c r="Z69" s="73"/>
      <c r="AA69" s="73"/>
      <c r="AB69" s="73"/>
      <c r="AC69" s="73"/>
      <c r="AD69" s="73"/>
      <c r="AE69" s="73"/>
      <c r="AF69" s="73"/>
      <c r="AG69" s="74"/>
      <c r="AT69" s="183">
        <v>6</v>
      </c>
      <c r="AU69" s="177" t="s">
        <v>142</v>
      </c>
      <c r="AV69" s="177">
        <f t="shared" ref="AV69:BF69" si="84">IF(AV52=0,0,RANK(AV52,$AV52:$BF52,0))</f>
        <v>0</v>
      </c>
      <c r="AW69" s="177">
        <f t="shared" si="84"/>
        <v>0</v>
      </c>
      <c r="AX69" s="177">
        <f t="shared" si="84"/>
        <v>0</v>
      </c>
      <c r="AY69" s="177">
        <f t="shared" si="84"/>
        <v>0</v>
      </c>
      <c r="AZ69" s="177">
        <f t="shared" si="84"/>
        <v>0</v>
      </c>
      <c r="BA69" s="177">
        <f t="shared" si="84"/>
        <v>0</v>
      </c>
      <c r="BB69" s="177">
        <f t="shared" si="84"/>
        <v>0</v>
      </c>
      <c r="BC69" s="177">
        <f t="shared" si="84"/>
        <v>0</v>
      </c>
      <c r="BD69" s="177">
        <f t="shared" si="84"/>
        <v>0</v>
      </c>
      <c r="BE69" s="177">
        <f t="shared" si="84"/>
        <v>0</v>
      </c>
      <c r="BF69" s="178">
        <f t="shared" si="84"/>
        <v>0</v>
      </c>
      <c r="BH69" s="16"/>
      <c r="BI69" s="16"/>
    </row>
    <row r="70" spans="2:61" ht="15" customHeight="1" x14ac:dyDescent="0.25">
      <c r="B70" s="287" t="s">
        <v>74</v>
      </c>
      <c r="C70" s="288"/>
      <c r="D70" s="288"/>
      <c r="E70" s="288"/>
      <c r="F70" s="473" t="s">
        <v>75</v>
      </c>
      <c r="G70" s="473"/>
      <c r="H70" s="130">
        <v>0.3</v>
      </c>
      <c r="I70" s="22"/>
      <c r="J70" s="22"/>
      <c r="K70" s="19"/>
      <c r="M70" s="68"/>
      <c r="N70" s="309" t="s">
        <v>76</v>
      </c>
      <c r="O70" s="309"/>
      <c r="P70" s="309"/>
      <c r="Q70" s="82"/>
      <c r="R70" s="82"/>
      <c r="S70" s="82"/>
      <c r="T70" s="82"/>
      <c r="U70" s="82"/>
      <c r="V70" s="82"/>
      <c r="W70" s="83"/>
      <c r="Y70" s="72"/>
      <c r="Z70" s="73"/>
      <c r="AA70" s="73"/>
      <c r="AB70" s="73"/>
      <c r="AC70" s="73"/>
      <c r="AD70" s="73"/>
      <c r="AE70" s="73"/>
      <c r="AF70" s="73"/>
      <c r="AG70" s="74"/>
      <c r="AI70" s="313" t="s">
        <v>115</v>
      </c>
      <c r="AJ70" s="313"/>
      <c r="AK70" s="313"/>
      <c r="AL70" s="313"/>
      <c r="AM70" s="313"/>
      <c r="AN70" s="313"/>
      <c r="AO70" s="313"/>
      <c r="AP70" s="313"/>
      <c r="AQ70" s="313"/>
      <c r="AT70" s="179"/>
      <c r="AU70" s="16"/>
      <c r="AV70" s="16">
        <f>IF(AV69=0,0,AV69+120)</f>
        <v>0</v>
      </c>
      <c r="AW70" s="16">
        <f>IF(AW69=0,0,AW69+108)</f>
        <v>0</v>
      </c>
      <c r="AX70" s="16">
        <f>IF(AX69=0,0,AX69+60)</f>
        <v>0</v>
      </c>
      <c r="AY70" s="16">
        <f>IF(AY69=0,0,AY69+96)</f>
        <v>0</v>
      </c>
      <c r="AZ70" s="16">
        <f>IF(AZ69=0,0,AZ69+84)</f>
        <v>0</v>
      </c>
      <c r="BA70" s="16">
        <f>IF(BA69=0,0,BA69+72)</f>
        <v>0</v>
      </c>
      <c r="BB70" s="16">
        <f>IF(BB69=0,0,BB69+48)</f>
        <v>0</v>
      </c>
      <c r="BC70" s="16">
        <f>IF(BC69=0,0,BC69+36)</f>
        <v>0</v>
      </c>
      <c r="BD70" s="16">
        <f>IF(BD69=0,0,BD69+24)</f>
        <v>0</v>
      </c>
      <c r="BE70" s="16">
        <f>IF(BE69=0,0,BE69+12)</f>
        <v>0</v>
      </c>
      <c r="BF70" s="180">
        <f>IF(BF69=0,0,BF69+0)</f>
        <v>0</v>
      </c>
      <c r="BH70" s="16"/>
      <c r="BI70" s="16"/>
    </row>
    <row r="71" spans="2:61" ht="15" customHeight="1" thickBot="1" x14ac:dyDescent="0.3">
      <c r="B71" s="84"/>
      <c r="C71" s="136"/>
      <c r="D71" s="19"/>
      <c r="E71" s="19"/>
      <c r="F71" s="19"/>
      <c r="G71" s="19"/>
      <c r="H71" s="19"/>
      <c r="I71" s="66"/>
      <c r="J71" s="66"/>
      <c r="K71" s="67"/>
      <c r="L71" s="77"/>
      <c r="M71" s="78"/>
      <c r="N71" s="77"/>
      <c r="O71" s="77"/>
      <c r="P71" s="77"/>
      <c r="Q71" s="77"/>
      <c r="R71" s="77"/>
      <c r="S71" s="77"/>
      <c r="T71" s="77"/>
      <c r="U71" s="77"/>
      <c r="V71" s="77"/>
      <c r="W71" s="78"/>
      <c r="Y71" s="72"/>
      <c r="Z71" s="73"/>
      <c r="AA71" s="73"/>
      <c r="AB71" s="73"/>
      <c r="AC71" s="73"/>
      <c r="AD71" s="73"/>
      <c r="AE71" s="73"/>
      <c r="AF71" s="73"/>
      <c r="AG71" s="74"/>
      <c r="AI71" s="16">
        <f>'Kosten-Stellen'!B46</f>
        <v>2560</v>
      </c>
      <c r="AJ71" s="275" t="str">
        <f>'Kosten-Stellen'!C46</f>
        <v>Fahrtkosten ÖPNV</v>
      </c>
      <c r="AK71" s="277"/>
      <c r="AL71" s="275" t="str">
        <f>'Kosten-Stellen'!D46</f>
        <v>Fahrtkosten ÖPNV: Bahn, Bus, Flugzeug (nicht Miete)</v>
      </c>
      <c r="AM71" s="276"/>
      <c r="AN71" s="276"/>
      <c r="AO71" s="276"/>
      <c r="AP71" s="276"/>
      <c r="AQ71" s="277"/>
      <c r="AT71" s="189"/>
      <c r="AU71" s="188"/>
      <c r="AV71" s="103">
        <f>IF(AV70=0,0,RANK(AV70,$AV70:$BF70,0))</f>
        <v>0</v>
      </c>
      <c r="AW71" s="103">
        <f t="shared" ref="AW71" si="85">IF(AW70=0,0,RANK(AW70,$AV70:$BF70,0))</f>
        <v>0</v>
      </c>
      <c r="AX71" s="103">
        <f t="shared" ref="AX71" si="86">IF(AX70=0,0,RANK(AX70,$AV70:$BF70,0))</f>
        <v>0</v>
      </c>
      <c r="AY71" s="103">
        <f t="shared" ref="AY71" si="87">IF(AY70=0,0,RANK(AY70,$AV70:$BF70,0))</f>
        <v>0</v>
      </c>
      <c r="AZ71" s="103">
        <f t="shared" ref="AZ71" si="88">IF(AZ70=0,0,RANK(AZ70,$AV70:$BF70,0))</f>
        <v>0</v>
      </c>
      <c r="BA71" s="103">
        <f t="shared" ref="BA71" si="89">IF(BA70=0,0,RANK(BA70,$AV70:$BF70,0))</f>
        <v>0</v>
      </c>
      <c r="BB71" s="103">
        <f t="shared" ref="BB71" si="90">IF(BB70=0,0,RANK(BB70,$AV70:$BF70,0))</f>
        <v>0</v>
      </c>
      <c r="BC71" s="103">
        <f t="shared" ref="BC71" si="91">IF(BC70=0,0,RANK(BC70,$AV70:$BF70,0))</f>
        <v>0</v>
      </c>
      <c r="BD71" s="103">
        <f t="shared" ref="BD71" si="92">IF(BD70=0,0,RANK(BD70,$AV70:$BF70,0))</f>
        <v>0</v>
      </c>
      <c r="BE71" s="103">
        <f t="shared" ref="BE71" si="93">IF(BE70=0,0,RANK(BE70,$AV70:$BF70,0))</f>
        <v>0</v>
      </c>
      <c r="BF71" s="182">
        <f t="shared" ref="BF71" si="94">IF(BF70=0,0,RANK(BF70,$AV70:$BF70,0))</f>
        <v>0</v>
      </c>
      <c r="BH71" s="103">
        <f>COUNTIF(AV71:BF71,"&gt;0")</f>
        <v>0</v>
      </c>
      <c r="BI71" s="103"/>
    </row>
    <row r="72" spans="2:61" ht="15" customHeight="1" x14ac:dyDescent="0.25">
      <c r="B72" s="305" t="s">
        <v>152</v>
      </c>
      <c r="C72" s="306"/>
      <c r="D72" s="306"/>
      <c r="E72" s="306"/>
      <c r="F72" s="306"/>
      <c r="G72" s="306"/>
      <c r="H72" s="306"/>
      <c r="I72" s="66"/>
      <c r="J72" s="66"/>
      <c r="K72" s="67"/>
      <c r="L72" s="61"/>
      <c r="M72" s="59"/>
      <c r="N72" s="61"/>
      <c r="O72" s="289"/>
      <c r="P72" s="290"/>
      <c r="Q72" s="61"/>
      <c r="R72" s="292"/>
      <c r="S72" s="292"/>
      <c r="T72" s="292"/>
      <c r="U72" s="292"/>
      <c r="V72" s="292"/>
      <c r="W72" s="59"/>
      <c r="Y72" s="72"/>
      <c r="Z72" s="73"/>
      <c r="AA72" s="73"/>
      <c r="AB72" s="73"/>
      <c r="AC72" s="73"/>
      <c r="AD72" s="73"/>
      <c r="AE72" s="73"/>
      <c r="AF72" s="73"/>
      <c r="AG72" s="74"/>
      <c r="AI72" s="16">
        <f>'Kosten-Stellen'!B47</f>
        <v>2562</v>
      </c>
      <c r="AJ72" s="275" t="str">
        <f>'Kosten-Stellen'!C47</f>
        <v>Fahrtkosten PKW</v>
      </c>
      <c r="AK72" s="277"/>
      <c r="AL72" s="275" t="str">
        <f>'Kosten-Stellen'!D47</f>
        <v>Fahrtkosten: PKW 0,30 €/km</v>
      </c>
      <c r="AM72" s="276"/>
      <c r="AN72" s="276"/>
      <c r="AO72" s="276"/>
      <c r="AP72" s="276"/>
      <c r="AQ72" s="277"/>
      <c r="BC72" s="14"/>
      <c r="BD72" s="14"/>
      <c r="BE72" s="14"/>
      <c r="BF72" s="14"/>
    </row>
    <row r="73" spans="2:61" ht="15" customHeight="1" x14ac:dyDescent="0.25">
      <c r="B73" s="163"/>
      <c r="C73" s="164"/>
      <c r="D73" s="164"/>
      <c r="E73" s="164"/>
      <c r="F73" s="14"/>
      <c r="G73" s="14"/>
      <c r="H73" s="19"/>
      <c r="I73" s="66"/>
      <c r="J73" s="66"/>
      <c r="K73" s="67"/>
      <c r="L73" s="61"/>
      <c r="M73" s="59"/>
      <c r="N73" s="61"/>
      <c r="O73" s="291"/>
      <c r="P73" s="291"/>
      <c r="Q73" s="61"/>
      <c r="R73" s="293"/>
      <c r="S73" s="293"/>
      <c r="T73" s="293"/>
      <c r="U73" s="293"/>
      <c r="V73" s="293"/>
      <c r="W73" s="59"/>
      <c r="Y73" s="72"/>
      <c r="Z73" s="73"/>
      <c r="AA73" s="73"/>
      <c r="AB73" s="73"/>
      <c r="AC73" s="73"/>
      <c r="AD73" s="73"/>
      <c r="AE73" s="73"/>
      <c r="AF73" s="73"/>
      <c r="AG73" s="74"/>
      <c r="AI73" s="16">
        <f>'Kosten-Stellen'!B48</f>
        <v>2569</v>
      </c>
      <c r="AJ73" s="275" t="str">
        <f>'Kosten-Stellen'!C48</f>
        <v>Tagegeld</v>
      </c>
      <c r="AK73" s="277"/>
      <c r="AL73" s="275" t="str">
        <f>'Kosten-Stellen'!D48</f>
        <v>Tagegeld (Hauptamtliche)</v>
      </c>
      <c r="AM73" s="276"/>
      <c r="AN73" s="276"/>
      <c r="AO73" s="276"/>
      <c r="AP73" s="276"/>
      <c r="AQ73" s="277"/>
      <c r="BC73" s="14"/>
      <c r="BD73" s="14"/>
      <c r="BE73" s="14"/>
      <c r="BF73" s="14"/>
    </row>
    <row r="74" spans="2:61" ht="15" customHeight="1" x14ac:dyDescent="0.25">
      <c r="B74" s="162"/>
      <c r="C74" s="19"/>
      <c r="D74" s="19"/>
      <c r="E74" s="19"/>
      <c r="F74" s="14"/>
      <c r="G74" s="14"/>
      <c r="H74" s="19"/>
      <c r="I74" s="66"/>
      <c r="J74" s="66"/>
      <c r="K74" s="67"/>
      <c r="M74" s="68"/>
      <c r="O74" s="505" t="s">
        <v>1</v>
      </c>
      <c r="P74" s="505"/>
      <c r="Q74" s="67"/>
      <c r="R74" s="311" t="s">
        <v>2</v>
      </c>
      <c r="S74" s="311"/>
      <c r="T74" s="311"/>
      <c r="U74" s="311"/>
      <c r="V74" s="311"/>
      <c r="W74" s="85"/>
      <c r="Y74" s="86"/>
      <c r="Z74" s="165"/>
      <c r="AA74" s="165"/>
      <c r="AB74" s="165"/>
      <c r="AC74" s="165"/>
      <c r="AD74" s="165"/>
      <c r="AE74" s="165"/>
      <c r="AF74" s="165"/>
      <c r="AG74" s="74"/>
      <c r="BF74" s="14"/>
    </row>
    <row r="75" spans="2:61" ht="6" customHeight="1" x14ac:dyDescent="0.3">
      <c r="B75" s="79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  <c r="V75" s="87"/>
      <c r="W75" s="88"/>
    </row>
    <row r="76" spans="2:61" ht="18" customHeight="1" x14ac:dyDescent="0.3">
      <c r="AI76" s="157" t="s">
        <v>78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1"/>
      <c r="AW76" s="191" t="s">
        <v>166</v>
      </c>
      <c r="AX76" s="191" t="s">
        <v>142</v>
      </c>
      <c r="AY76" s="191" t="s">
        <v>77</v>
      </c>
      <c r="AZ76" s="517" t="s">
        <v>47</v>
      </c>
      <c r="BA76" s="518"/>
      <c r="BB76" s="191" t="s">
        <v>10</v>
      </c>
    </row>
    <row r="77" spans="2:61" ht="18" customHeight="1" x14ac:dyDescent="0.3">
      <c r="B77" s="24"/>
      <c r="C77" s="24"/>
      <c r="D77" s="24"/>
      <c r="E77" s="24"/>
      <c r="F77" s="89"/>
      <c r="G77" s="89"/>
      <c r="Z77" s="23"/>
      <c r="AA77" s="166"/>
      <c r="AB77" s="166"/>
      <c r="AC77" s="166"/>
      <c r="AD77" s="166"/>
      <c r="AE77" s="166"/>
      <c r="AF77" s="166"/>
      <c r="AG77" s="166"/>
      <c r="AI77" s="504" t="s">
        <v>146</v>
      </c>
      <c r="AJ77" s="504"/>
      <c r="AK77" s="504"/>
      <c r="AL77" s="125" t="s">
        <v>48</v>
      </c>
      <c r="AM77" s="520" t="s">
        <v>79</v>
      </c>
      <c r="AN77" s="521"/>
      <c r="AO77" s="521"/>
      <c r="AP77" s="521"/>
      <c r="AQ77" s="522"/>
      <c r="AR77" s="520" t="s">
        <v>80</v>
      </c>
      <c r="AS77" s="521"/>
      <c r="AT77" s="522"/>
      <c r="AU77" s="245"/>
      <c r="AW77" s="16">
        <v>1</v>
      </c>
      <c r="AX77" s="16">
        <f>$AV$56</f>
        <v>0</v>
      </c>
      <c r="AY77" s="16">
        <f>AI$71</f>
        <v>2560</v>
      </c>
      <c r="AZ77" s="501" t="str">
        <f>AJ$71</f>
        <v>Fahrtkosten ÖPNV</v>
      </c>
      <c r="BA77" s="501"/>
      <c r="BB77" s="28">
        <f>$AV$47</f>
        <v>0</v>
      </c>
    </row>
    <row r="78" spans="2:61" ht="18" customHeight="1" x14ac:dyDescent="0.3">
      <c r="B78" s="138"/>
      <c r="C78" s="138"/>
      <c r="D78" s="138"/>
      <c r="E78" s="138"/>
      <c r="F78" s="139"/>
      <c r="G78" s="139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92"/>
      <c r="Z78" s="23"/>
      <c r="AA78" s="140"/>
      <c r="AB78" s="140"/>
      <c r="AC78" s="140"/>
      <c r="AD78" s="166"/>
      <c r="AE78" s="166"/>
      <c r="AF78" s="118"/>
      <c r="AG78" s="118"/>
      <c r="AH78" s="22"/>
      <c r="AI78" s="501" t="str">
        <f>'Kosten-Stellen'!C4</f>
        <v>Allg. Sportdirektor</v>
      </c>
      <c r="AJ78" s="501"/>
      <c r="AK78" s="501"/>
      <c r="AL78" s="16">
        <f>'Kosten-Stellen'!B4</f>
        <v>97000000</v>
      </c>
      <c r="AM78" s="275" t="str">
        <f>'Kosten-Stellen'!D4</f>
        <v>Allg. Sportdirektor: Kader, Personal</v>
      </c>
      <c r="AN78" s="276"/>
      <c r="AO78" s="276"/>
      <c r="AP78" s="276"/>
      <c r="AQ78" s="277"/>
      <c r="AR78" s="506" t="str">
        <f>'Kosten-Stellen'!E4</f>
        <v>Allgemein</v>
      </c>
      <c r="AS78" s="507"/>
      <c r="AT78" s="508"/>
      <c r="AU78" s="246"/>
      <c r="AW78" s="16"/>
      <c r="AX78" s="16">
        <f>$AW$56</f>
        <v>0</v>
      </c>
      <c r="AY78" s="16">
        <f>AI$72</f>
        <v>2562</v>
      </c>
      <c r="AZ78" s="501" t="str">
        <f>AJ$72</f>
        <v>Fahrtkosten PKW</v>
      </c>
      <c r="BA78" s="501"/>
      <c r="BB78" s="28">
        <f>$AW$47</f>
        <v>0</v>
      </c>
    </row>
    <row r="79" spans="2:61" ht="18" customHeight="1" thickBot="1" x14ac:dyDescent="0.35">
      <c r="B79" s="138"/>
      <c r="C79" s="138"/>
      <c r="D79" s="138"/>
      <c r="E79" s="138"/>
      <c r="F79" s="139"/>
      <c r="G79" s="13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92"/>
      <c r="Z79" s="23"/>
      <c r="AA79" s="140"/>
      <c r="AB79" s="140"/>
      <c r="AC79" s="140"/>
      <c r="AD79" s="166"/>
      <c r="AE79" s="166"/>
      <c r="AF79" s="65"/>
      <c r="AG79" s="65"/>
      <c r="AH79" s="22"/>
      <c r="AI79" s="501" t="str">
        <f>'Kosten-Stellen'!C5</f>
        <v>Allg. Aus- und Fortbildung</v>
      </c>
      <c r="AJ79" s="501"/>
      <c r="AK79" s="501"/>
      <c r="AL79" s="16">
        <f>'Kosten-Stellen'!B5</f>
        <v>98000000</v>
      </c>
      <c r="AM79" s="275" t="str">
        <f>'Kosten-Stellen'!D5</f>
        <v>Allg. Aus- und Fortbildung</v>
      </c>
      <c r="AN79" s="276"/>
      <c r="AO79" s="276"/>
      <c r="AP79" s="276"/>
      <c r="AQ79" s="277"/>
      <c r="AR79" s="506" t="str">
        <f>'Kosten-Stellen'!E5</f>
        <v>Allgemein</v>
      </c>
      <c r="AS79" s="507"/>
      <c r="AT79" s="508"/>
      <c r="AU79" s="246"/>
      <c r="AW79" s="194"/>
      <c r="AX79" s="194">
        <f>$AX$56</f>
        <v>0</v>
      </c>
      <c r="AY79" s="194">
        <f>AI$73</f>
        <v>2569</v>
      </c>
      <c r="AZ79" s="512" t="str">
        <f>AJ$73</f>
        <v>Tagegeld</v>
      </c>
      <c r="BA79" s="512"/>
      <c r="BB79" s="195">
        <f>$AX$47</f>
        <v>0</v>
      </c>
    </row>
    <row r="80" spans="2:61" ht="18" hidden="1" customHeight="1" x14ac:dyDescent="0.3">
      <c r="B80" s="138"/>
      <c r="C80" s="138"/>
      <c r="D80" s="138"/>
      <c r="E80" s="138"/>
      <c r="F80" s="139"/>
      <c r="G80" s="139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92"/>
      <c r="Z80" s="23"/>
      <c r="AA80" s="140"/>
      <c r="AB80" s="140"/>
      <c r="AC80" s="140"/>
      <c r="AD80" s="166"/>
      <c r="AE80" s="166"/>
      <c r="AF80" s="120"/>
      <c r="AG80" s="120"/>
      <c r="AH80" s="120"/>
      <c r="AI80" s="501" t="str">
        <f>'Kosten-Stellen'!C6</f>
        <v>Sitzung Präsidium + HV</v>
      </c>
      <c r="AJ80" s="501"/>
      <c r="AK80" s="501"/>
      <c r="AL80" s="16">
        <f>'Kosten-Stellen'!B6</f>
        <v>91000600</v>
      </c>
      <c r="AM80" s="275" t="str">
        <f>'Kosten-Stellen'!D6</f>
        <v>Präsidium, Hauptversammlung,</v>
      </c>
      <c r="AN80" s="276"/>
      <c r="AO80" s="276"/>
      <c r="AP80" s="276"/>
      <c r="AQ80" s="277"/>
      <c r="AR80" s="506" t="str">
        <f>'Kosten-Stellen'!E6</f>
        <v>Sitzungen</v>
      </c>
      <c r="AS80" s="507"/>
      <c r="AT80" s="508"/>
      <c r="AU80" s="246"/>
      <c r="AW80" s="97"/>
      <c r="AX80" s="97">
        <f>AY$56</f>
        <v>0</v>
      </c>
      <c r="AY80" s="97">
        <f>AI$61</f>
        <v>2566</v>
      </c>
      <c r="AZ80" s="510" t="str">
        <f>AJ$61</f>
        <v>Mietwagen/ Bus</v>
      </c>
      <c r="BA80" s="510"/>
      <c r="BB80" s="185">
        <f>$AY$47</f>
        <v>0</v>
      </c>
      <c r="BD80" s="1"/>
      <c r="BE80" s="1"/>
      <c r="BF80" s="1"/>
      <c r="BG80" s="1"/>
      <c r="BH80" s="1"/>
    </row>
    <row r="81" spans="1:69" s="90" customFormat="1" ht="18" hidden="1" customHeight="1" x14ac:dyDescent="0.3">
      <c r="B81" s="142">
        <v>9.5</v>
      </c>
      <c r="C81" s="142">
        <v>2</v>
      </c>
      <c r="D81" s="142">
        <v>6</v>
      </c>
      <c r="E81" s="142">
        <v>6</v>
      </c>
      <c r="F81" s="142">
        <v>3</v>
      </c>
      <c r="G81" s="142">
        <v>5.5</v>
      </c>
      <c r="H81" s="142">
        <v>5.5</v>
      </c>
      <c r="I81" s="142">
        <v>4</v>
      </c>
      <c r="J81" s="142">
        <v>3</v>
      </c>
      <c r="K81" s="142">
        <v>4</v>
      </c>
      <c r="L81" s="142">
        <v>7.5</v>
      </c>
      <c r="M81" s="142">
        <v>7</v>
      </c>
      <c r="N81" s="142">
        <v>7.5</v>
      </c>
      <c r="O81" s="142">
        <v>7</v>
      </c>
      <c r="P81" s="146">
        <v>9.5</v>
      </c>
      <c r="Q81" s="146">
        <v>8</v>
      </c>
      <c r="R81" s="143">
        <v>7</v>
      </c>
      <c r="S81" s="143">
        <v>3</v>
      </c>
      <c r="T81" s="142">
        <v>4</v>
      </c>
      <c r="U81" s="144">
        <v>17</v>
      </c>
      <c r="V81" s="142">
        <v>5</v>
      </c>
      <c r="W81" s="142">
        <v>3.5</v>
      </c>
      <c r="X81" s="145">
        <v>3</v>
      </c>
      <c r="Y81" s="25">
        <f>SUM(B81:W81)</f>
        <v>134.5</v>
      </c>
      <c r="AA81" s="91"/>
      <c r="AB81" s="91"/>
      <c r="AC81" s="91"/>
      <c r="AD81" s="91"/>
      <c r="AE81" s="91"/>
      <c r="AF81" s="121"/>
      <c r="AG81" s="121"/>
      <c r="AH81" s="121"/>
      <c r="AI81" s="501" t="str">
        <f>'Kosten-Stellen'!C7</f>
        <v>Sitzung Finanzen</v>
      </c>
      <c r="AJ81" s="501"/>
      <c r="AK81" s="501"/>
      <c r="AL81" s="16">
        <f>'Kosten-Stellen'!B7</f>
        <v>93000600</v>
      </c>
      <c r="AM81" s="275" t="str">
        <f>'Kosten-Stellen'!D7</f>
        <v>Haushaltsführung, Controlling, Buchhaltung</v>
      </c>
      <c r="AN81" s="276"/>
      <c r="AO81" s="276"/>
      <c r="AP81" s="276"/>
      <c r="AQ81" s="277"/>
      <c r="AR81" s="506" t="str">
        <f>'Kosten-Stellen'!E7</f>
        <v>Sitzungen</v>
      </c>
      <c r="AS81" s="507"/>
      <c r="AT81" s="508"/>
      <c r="AU81" s="246"/>
      <c r="AV81" s="91"/>
      <c r="AW81" s="16"/>
      <c r="AX81" s="16">
        <f>AZ$56</f>
        <v>0</v>
      </c>
      <c r="AY81" s="16">
        <f>AI$62</f>
        <v>2567</v>
      </c>
      <c r="AZ81" s="278" t="str">
        <f>AJ$62</f>
        <v>Hotel-Kosten</v>
      </c>
      <c r="BA81" s="278"/>
      <c r="BB81" s="28">
        <f>$AZ$47</f>
        <v>0</v>
      </c>
      <c r="BC81" s="91"/>
      <c r="BI81" s="91"/>
      <c r="BJ81" s="91"/>
      <c r="BK81" s="91"/>
      <c r="BL81" s="91"/>
      <c r="BM81" s="91"/>
      <c r="BN81" s="91"/>
      <c r="BO81" s="91"/>
      <c r="BP81" s="91"/>
      <c r="BQ81" s="91"/>
    </row>
    <row r="82" spans="1:69" s="90" customFormat="1" ht="18" hidden="1" customHeight="1" x14ac:dyDescent="0.3">
      <c r="B82" s="142">
        <f>SUM(B81)</f>
        <v>9.5</v>
      </c>
      <c r="C82" s="279">
        <f>SUM(C81:F81)</f>
        <v>17</v>
      </c>
      <c r="D82" s="280"/>
      <c r="E82" s="280"/>
      <c r="F82" s="281"/>
      <c r="G82" s="279">
        <f>SUM(G81:H81)</f>
        <v>11</v>
      </c>
      <c r="H82" s="281"/>
      <c r="I82" s="279">
        <f>SUM(I81:J81)</f>
        <v>7</v>
      </c>
      <c r="J82" s="281"/>
      <c r="K82" s="279">
        <f>SUM(K81:M81)</f>
        <v>18.5</v>
      </c>
      <c r="L82" s="280"/>
      <c r="M82" s="281"/>
      <c r="N82" s="153">
        <f>SUM(N81)</f>
        <v>7.5</v>
      </c>
      <c r="O82" s="153">
        <f>SUM(O81)</f>
        <v>7</v>
      </c>
      <c r="P82" s="279">
        <f>SUM(P81:Q81)</f>
        <v>17.5</v>
      </c>
      <c r="Q82" s="281"/>
      <c r="R82" s="142">
        <f>SUM(R81)</f>
        <v>7</v>
      </c>
      <c r="S82" s="154"/>
      <c r="T82" s="142">
        <f>SUM(T81)</f>
        <v>4</v>
      </c>
      <c r="U82" s="155">
        <f>$U$81</f>
        <v>17</v>
      </c>
      <c r="V82" s="280">
        <f>SUM(V81:W81)</f>
        <v>8.5</v>
      </c>
      <c r="W82" s="281"/>
      <c r="X82" s="145"/>
      <c r="Y82" s="25"/>
      <c r="Z82" s="91"/>
      <c r="AA82" s="91"/>
      <c r="AB82" s="91"/>
      <c r="AC82" s="91"/>
      <c r="AD82" s="91"/>
      <c r="AE82" s="91"/>
      <c r="AF82" s="121"/>
      <c r="AG82" s="121"/>
      <c r="AH82" s="121"/>
      <c r="AI82" s="501" t="str">
        <f>'Kosten-Stellen'!C8</f>
        <v>Sitzung Erwachsenensport</v>
      </c>
      <c r="AJ82" s="501"/>
      <c r="AK82" s="501"/>
      <c r="AL82" s="16">
        <f>'Kosten-Stellen'!B8</f>
        <v>94000600</v>
      </c>
      <c r="AM82" s="278">
        <f>'Kosten-Stellen'!D8</f>
        <v>0</v>
      </c>
      <c r="AN82" s="278"/>
      <c r="AO82" s="278"/>
      <c r="AP82" s="278"/>
      <c r="AQ82" s="278"/>
      <c r="AR82" s="506" t="str">
        <f>'Kosten-Stellen'!E8</f>
        <v>Sitzungen</v>
      </c>
      <c r="AS82" s="507"/>
      <c r="AT82" s="508"/>
      <c r="AU82" s="246"/>
      <c r="AV82" s="91"/>
      <c r="AW82" s="16"/>
      <c r="AX82" s="16">
        <f>BA$56</f>
        <v>0</v>
      </c>
      <c r="AY82" s="16">
        <f>AI$63</f>
        <v>2568</v>
      </c>
      <c r="AZ82" s="278" t="str">
        <f>AJ$63</f>
        <v>Sportschule</v>
      </c>
      <c r="BA82" s="278"/>
      <c r="BB82" s="28">
        <f>$BA$47</f>
        <v>0</v>
      </c>
      <c r="BC82" s="91"/>
      <c r="BI82" s="91"/>
      <c r="BJ82" s="91"/>
      <c r="BK82" s="91"/>
      <c r="BL82" s="91"/>
      <c r="BM82" s="91"/>
      <c r="BN82" s="91"/>
      <c r="BO82" s="91"/>
      <c r="BP82" s="91"/>
      <c r="BQ82" s="91"/>
    </row>
    <row r="83" spans="1:69" s="90" customFormat="1" ht="18" hidden="1" customHeight="1" x14ac:dyDescent="0.3">
      <c r="B83" s="282">
        <f>SUM(B81:H81)</f>
        <v>37.5</v>
      </c>
      <c r="C83" s="283"/>
      <c r="D83" s="283"/>
      <c r="E83" s="283"/>
      <c r="F83" s="283"/>
      <c r="G83" s="283"/>
      <c r="H83" s="283"/>
      <c r="I83" s="299">
        <f>SUM(I81:N81)</f>
        <v>33</v>
      </c>
      <c r="J83" s="300"/>
      <c r="K83" s="300"/>
      <c r="L83" s="300"/>
      <c r="M83" s="300"/>
      <c r="N83" s="301"/>
      <c r="O83" s="296">
        <f>SUM(O81:R81)</f>
        <v>31.5</v>
      </c>
      <c r="P83" s="297"/>
      <c r="Q83" s="297"/>
      <c r="R83" s="298"/>
      <c r="S83" s="302">
        <f>SUM(S81:W81)</f>
        <v>32.5</v>
      </c>
      <c r="T83" s="303"/>
      <c r="U83" s="303"/>
      <c r="V83" s="303"/>
      <c r="W83" s="304"/>
      <c r="X83" s="25"/>
      <c r="Y83" s="25"/>
      <c r="Z83" s="91"/>
      <c r="AA83" s="91"/>
      <c r="AB83" s="91"/>
      <c r="AC83" s="91"/>
      <c r="AD83" s="91"/>
      <c r="AE83" s="91"/>
      <c r="AF83" s="122"/>
      <c r="AG83" s="122"/>
      <c r="AH83" s="122"/>
      <c r="AI83" s="501" t="str">
        <f>'Kosten-Stellen'!C9</f>
        <v>Sitzung Jugendsport</v>
      </c>
      <c r="AJ83" s="501"/>
      <c r="AK83" s="501"/>
      <c r="AL83" s="16">
        <f>'Kosten-Stellen'!B9</f>
        <v>95000600</v>
      </c>
      <c r="AM83" s="278">
        <f>'Kosten-Stellen'!D9</f>
        <v>0</v>
      </c>
      <c r="AN83" s="278"/>
      <c r="AO83" s="278"/>
      <c r="AP83" s="278"/>
      <c r="AQ83" s="278"/>
      <c r="AR83" s="506" t="str">
        <f>'Kosten-Stellen'!E9</f>
        <v>Sitzungen</v>
      </c>
      <c r="AS83" s="507"/>
      <c r="AT83" s="508"/>
      <c r="AU83" s="246"/>
      <c r="AV83" s="91"/>
      <c r="AW83" s="16"/>
      <c r="AX83" s="16">
        <f>BB$56</f>
        <v>0</v>
      </c>
      <c r="AY83" s="16">
        <f>AI$64</f>
        <v>2570</v>
      </c>
      <c r="AZ83" s="278" t="str">
        <f>AJ$64</f>
        <v>Bewirtung</v>
      </c>
      <c r="BA83" s="278"/>
      <c r="BB83" s="28">
        <f>$BB$47</f>
        <v>0</v>
      </c>
      <c r="BC83" s="91"/>
      <c r="BI83" s="91"/>
      <c r="BJ83" s="91"/>
      <c r="BK83" s="91"/>
      <c r="BL83" s="91"/>
      <c r="BM83" s="91"/>
      <c r="BN83" s="91"/>
      <c r="BO83" s="91"/>
      <c r="BP83" s="91"/>
      <c r="BQ83" s="91"/>
    </row>
    <row r="84" spans="1:69" s="14" customFormat="1" ht="18" hidden="1" customHeight="1" x14ac:dyDescent="0.3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256"/>
      <c r="N84" s="56"/>
      <c r="O84" s="141"/>
      <c r="P84" s="141"/>
      <c r="Q84" s="141"/>
      <c r="R84" s="141"/>
      <c r="S84" s="141"/>
      <c r="T84" s="141"/>
      <c r="U84" s="141"/>
      <c r="V84" s="141"/>
      <c r="W84" s="141"/>
      <c r="X84" s="25"/>
      <c r="Y84" s="134"/>
      <c r="AF84" s="123"/>
      <c r="AG84" s="123"/>
      <c r="AH84" s="123"/>
      <c r="AI84" s="501" t="str">
        <f>'Kosten-Stellen'!C10</f>
        <v>Sitzung Trainer</v>
      </c>
      <c r="AJ84" s="501"/>
      <c r="AK84" s="501"/>
      <c r="AL84" s="16">
        <f>'Kosten-Stellen'!B10</f>
        <v>97000600</v>
      </c>
      <c r="AM84" s="278">
        <f>'Kosten-Stellen'!D10</f>
        <v>0</v>
      </c>
      <c r="AN84" s="278"/>
      <c r="AO84" s="278"/>
      <c r="AP84" s="278"/>
      <c r="AQ84" s="278"/>
      <c r="AR84" s="506" t="str">
        <f>'Kosten-Stellen'!E10</f>
        <v>Sitzungen</v>
      </c>
      <c r="AS84" s="507"/>
      <c r="AT84" s="508"/>
      <c r="AU84" s="246"/>
      <c r="AW84" s="16"/>
      <c r="AX84" s="16">
        <f>BC$56</f>
        <v>0</v>
      </c>
      <c r="AY84" s="16">
        <f>AI$65</f>
        <v>2661</v>
      </c>
      <c r="AZ84" s="278" t="str">
        <f>AJ$65</f>
        <v>Raummiete</v>
      </c>
      <c r="BA84" s="278"/>
      <c r="BB84" s="28">
        <f>$BC$47</f>
        <v>0</v>
      </c>
    </row>
    <row r="85" spans="1:69" s="26" customFormat="1" ht="18" customHeight="1" x14ac:dyDescent="0.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3"/>
      <c r="U85" s="264"/>
      <c r="V85" s="264"/>
      <c r="W85" s="264"/>
      <c r="X85" s="263"/>
      <c r="Y85" s="134"/>
      <c r="Z85" s="14"/>
      <c r="AA85" s="14"/>
      <c r="AB85" s="14"/>
      <c r="AC85" s="14"/>
      <c r="AD85" s="14"/>
      <c r="AE85" s="14"/>
      <c r="AF85" s="122"/>
      <c r="AG85" s="122"/>
      <c r="AH85" s="122"/>
      <c r="AI85" s="501" t="str">
        <f>'Kosten-Stellen'!C11</f>
        <v>Sitzung Aus- und Fortbildung</v>
      </c>
      <c r="AJ85" s="501"/>
      <c r="AK85" s="501"/>
      <c r="AL85" s="16">
        <f>'Kosten-Stellen'!B11</f>
        <v>98000600</v>
      </c>
      <c r="AM85" s="278">
        <f>'Kosten-Stellen'!D11</f>
        <v>0</v>
      </c>
      <c r="AN85" s="278"/>
      <c r="AO85" s="278"/>
      <c r="AP85" s="278"/>
      <c r="AQ85" s="278"/>
      <c r="AR85" s="506" t="str">
        <f>'Kosten-Stellen'!E11</f>
        <v>Sitzungen</v>
      </c>
      <c r="AS85" s="507"/>
      <c r="AT85" s="508"/>
      <c r="AU85" s="246"/>
      <c r="AV85" s="14"/>
      <c r="AW85" s="192"/>
      <c r="AX85" s="16">
        <f>BD$56</f>
        <v>0</v>
      </c>
      <c r="AY85" s="16">
        <f>AI$66</f>
        <v>2704</v>
      </c>
      <c r="AZ85" s="278" t="str">
        <f>AJ$66</f>
        <v>Sonst. Reisekosten</v>
      </c>
      <c r="BA85" s="278"/>
      <c r="BB85" s="28">
        <f>$BD$47</f>
        <v>0</v>
      </c>
      <c r="BC85" s="14"/>
      <c r="BJ85" s="14"/>
      <c r="BK85" s="14"/>
      <c r="BL85" s="14"/>
      <c r="BM85" s="14"/>
      <c r="BN85" s="14"/>
      <c r="BO85" s="14"/>
      <c r="BP85" s="14"/>
      <c r="BQ85" s="14"/>
    </row>
    <row r="86" spans="1:69" s="26" customFormat="1" ht="18" customHeight="1" x14ac:dyDescent="0.3">
      <c r="B86" s="2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5"/>
      <c r="O86" s="25"/>
      <c r="P86" s="13"/>
      <c r="Q86" s="13"/>
      <c r="R86" s="25"/>
      <c r="S86" s="13"/>
      <c r="T86" s="23"/>
      <c r="U86" s="156"/>
      <c r="V86" s="14"/>
      <c r="W86" s="14"/>
      <c r="X86" s="19"/>
      <c r="Y86" s="134"/>
      <c r="Z86" s="14"/>
      <c r="AA86" s="14"/>
      <c r="AB86" s="14"/>
      <c r="AC86" s="14"/>
      <c r="AD86" s="14"/>
      <c r="AE86" s="14"/>
      <c r="AF86" s="124"/>
      <c r="AG86" s="124"/>
      <c r="AI86" s="501" t="str">
        <f>'Kosten-Stellen'!C12</f>
        <v>Schulprojekt SV</v>
      </c>
      <c r="AJ86" s="501"/>
      <c r="AK86" s="501"/>
      <c r="AL86" s="16">
        <f>'Kosten-Stellen'!B12</f>
        <v>90130600</v>
      </c>
      <c r="AM86" s="278">
        <f>'Kosten-Stellen'!D12</f>
        <v>0</v>
      </c>
      <c r="AN86" s="278"/>
      <c r="AO86" s="278"/>
      <c r="AP86" s="278"/>
      <c r="AQ86" s="278"/>
      <c r="AR86" s="506" t="str">
        <f>'Kosten-Stellen'!E12</f>
        <v>Sportentwicklung</v>
      </c>
      <c r="AS86" s="507"/>
      <c r="AT86" s="508"/>
      <c r="AU86" s="246"/>
      <c r="AV86" s="14"/>
      <c r="AW86" s="192"/>
      <c r="AX86" s="16">
        <f>BE$56</f>
        <v>0</v>
      </c>
      <c r="AY86" s="16">
        <f>AI$67</f>
        <v>2802</v>
      </c>
      <c r="AZ86" s="101" t="str">
        <f>AJ$67</f>
        <v>Geschenke</v>
      </c>
      <c r="BA86" s="101"/>
      <c r="BB86" s="28">
        <f>$BE$47</f>
        <v>0</v>
      </c>
      <c r="BC86" s="14"/>
      <c r="BJ86" s="14"/>
      <c r="BK86" s="14"/>
      <c r="BL86" s="14"/>
      <c r="BM86" s="14"/>
      <c r="BN86" s="14"/>
      <c r="BO86" s="14"/>
      <c r="BP86" s="14"/>
      <c r="BQ86" s="14"/>
    </row>
    <row r="87" spans="1:69" s="26" customFormat="1" ht="18" customHeight="1" thickBot="1" x14ac:dyDescent="0.35">
      <c r="T87" s="23"/>
      <c r="U87" s="156"/>
      <c r="V87" s="14"/>
      <c r="W87" s="14"/>
      <c r="X87" s="19"/>
      <c r="Y87" s="92"/>
      <c r="Z87" s="14"/>
      <c r="AA87" s="14"/>
      <c r="AB87" s="14"/>
      <c r="AC87" s="14"/>
      <c r="AD87" s="14"/>
      <c r="AE87" s="14"/>
      <c r="AF87" s="14"/>
      <c r="AG87" s="14"/>
      <c r="AH87" s="14"/>
      <c r="AI87" s="501" t="str">
        <f>'Kosten-Stellen'!C13</f>
        <v>LG Landeskader</v>
      </c>
      <c r="AJ87" s="501"/>
      <c r="AK87" s="501"/>
      <c r="AL87" s="16">
        <f>'Kosten-Stellen'!B13</f>
        <v>97430500</v>
      </c>
      <c r="AM87" s="501" t="str">
        <f>'Kosten-Stellen'!D13</f>
        <v>Lehrgang, Landeskader</v>
      </c>
      <c r="AN87" s="501"/>
      <c r="AO87" s="501"/>
      <c r="AP87" s="501"/>
      <c r="AQ87" s="501"/>
      <c r="AR87" s="506" t="str">
        <f>'Kosten-Stellen'!E13</f>
        <v>Lehrgänge</v>
      </c>
      <c r="AS87" s="507"/>
      <c r="AT87" s="508"/>
      <c r="AU87" s="246"/>
      <c r="AV87" s="14"/>
      <c r="AW87" s="193"/>
      <c r="AX87" s="103">
        <f>BF$56</f>
        <v>0</v>
      </c>
      <c r="AY87" s="103">
        <f>AI$68</f>
        <v>2810</v>
      </c>
      <c r="AZ87" s="511" t="str">
        <f>AJ$68</f>
        <v>Repräsentation</v>
      </c>
      <c r="BA87" s="511"/>
      <c r="BB87" s="186">
        <f>$BF$47</f>
        <v>0</v>
      </c>
      <c r="BC87" s="14"/>
      <c r="BJ87" s="14"/>
      <c r="BK87" s="14"/>
      <c r="BL87" s="14"/>
      <c r="BM87" s="14"/>
      <c r="BN87" s="14"/>
      <c r="BO87" s="14"/>
      <c r="BP87" s="14"/>
      <c r="BQ87" s="14"/>
    </row>
    <row r="88" spans="1:69" ht="18" customHeight="1" x14ac:dyDescent="0.3">
      <c r="B88" s="13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3"/>
      <c r="U88" s="156"/>
      <c r="V88" s="14"/>
      <c r="W88" s="14"/>
      <c r="X88" s="19"/>
      <c r="Y88" s="92"/>
      <c r="AI88" s="501" t="str">
        <f>'Kosten-Stellen'!C14</f>
        <v>LG Landes-FöG</v>
      </c>
      <c r="AJ88" s="501"/>
      <c r="AK88" s="501"/>
      <c r="AL88" s="16">
        <f>'Kosten-Stellen'!B14</f>
        <v>97230500</v>
      </c>
      <c r="AM88" s="501" t="str">
        <f>'Kosten-Stellen'!D14</f>
        <v>Lehrgang, Landesfördergruppe</v>
      </c>
      <c r="AN88" s="501"/>
      <c r="AO88" s="501"/>
      <c r="AP88" s="501"/>
      <c r="AQ88" s="501"/>
      <c r="AR88" s="506" t="str">
        <f>'Kosten-Stellen'!E14</f>
        <v>Lehrgänge</v>
      </c>
      <c r="AS88" s="507"/>
      <c r="AT88" s="508"/>
      <c r="AU88" s="246"/>
      <c r="AW88" s="16">
        <v>2</v>
      </c>
      <c r="AX88" s="16">
        <f>$AV$59</f>
        <v>0</v>
      </c>
      <c r="AY88" s="16">
        <f>AI$71</f>
        <v>2560</v>
      </c>
      <c r="AZ88" s="501" t="str">
        <f>AJ$71</f>
        <v>Fahrtkosten ÖPNV</v>
      </c>
      <c r="BA88" s="501"/>
      <c r="BB88" s="28">
        <f>$AV$48</f>
        <v>0</v>
      </c>
    </row>
    <row r="89" spans="1:69" ht="18" customHeight="1" x14ac:dyDescent="0.3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R89" s="26"/>
      <c r="S89" s="26"/>
      <c r="T89" s="23"/>
      <c r="U89" s="156"/>
      <c r="V89" s="14"/>
      <c r="W89" s="14"/>
      <c r="X89" s="19"/>
      <c r="Y89" s="92"/>
      <c r="AI89" s="501" t="str">
        <f>'Kosten-Stellen'!C15</f>
        <v>LG  3-Stufen DTTB</v>
      </c>
      <c r="AJ89" s="501"/>
      <c r="AK89" s="501"/>
      <c r="AL89" s="16">
        <f>'Kosten-Stellen'!B15</f>
        <v>97130500</v>
      </c>
      <c r="AM89" s="501" t="str">
        <f>'Kosten-Stellen'!D15</f>
        <v>Lehrgänge, 3 Stufen-Projekt DTTB</v>
      </c>
      <c r="AN89" s="501"/>
      <c r="AO89" s="501"/>
      <c r="AP89" s="501"/>
      <c r="AQ89" s="501"/>
      <c r="AR89" s="506" t="str">
        <f>'Kosten-Stellen'!E15</f>
        <v>Lehrgänge</v>
      </c>
      <c r="AS89" s="507"/>
      <c r="AT89" s="508"/>
      <c r="AU89" s="246"/>
      <c r="AW89" s="16"/>
      <c r="AX89" s="16">
        <f>$AW$59</f>
        <v>0</v>
      </c>
      <c r="AY89" s="16">
        <f>AI$72</f>
        <v>2562</v>
      </c>
      <c r="AZ89" s="501" t="str">
        <f>AJ$72</f>
        <v>Fahrtkosten PKW</v>
      </c>
      <c r="BA89" s="501"/>
      <c r="BB89" s="28">
        <f>$AW$48</f>
        <v>0</v>
      </c>
    </row>
    <row r="90" spans="1:69" s="19" customFormat="1" ht="18" customHeight="1" thickBot="1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R90" s="14"/>
      <c r="S90" s="14"/>
      <c r="T90" s="23"/>
      <c r="V90" s="14"/>
      <c r="W90" s="14"/>
      <c r="Z90" s="14"/>
      <c r="AA90" s="14"/>
      <c r="AB90" s="14"/>
      <c r="AC90" s="14"/>
      <c r="AD90" s="14"/>
      <c r="AE90" s="14"/>
      <c r="AF90" s="14"/>
      <c r="AI90" s="501" t="str">
        <f>'Kosten-Stellen'!C16</f>
        <v>LG TZL BaWü</v>
      </c>
      <c r="AJ90" s="501"/>
      <c r="AK90" s="501"/>
      <c r="AL90" s="16">
        <f>'Kosten-Stellen'!B16</f>
        <v>97120500</v>
      </c>
      <c r="AM90" s="501" t="str">
        <f>'Kosten-Stellen'!D16</f>
        <v>Lehrgang, TZL BaWü</v>
      </c>
      <c r="AN90" s="501"/>
      <c r="AO90" s="501"/>
      <c r="AP90" s="501"/>
      <c r="AQ90" s="501"/>
      <c r="AR90" s="506" t="str">
        <f>'Kosten-Stellen'!E16</f>
        <v>Lehrgänge</v>
      </c>
      <c r="AS90" s="507"/>
      <c r="AT90" s="508"/>
      <c r="AU90" s="246"/>
      <c r="AV90" s="14"/>
      <c r="AW90" s="194"/>
      <c r="AX90" s="194">
        <f>$AX$59</f>
        <v>0</v>
      </c>
      <c r="AY90" s="194">
        <f>AI$73</f>
        <v>2569</v>
      </c>
      <c r="AZ90" s="512" t="str">
        <f>AJ$73</f>
        <v>Tagegeld</v>
      </c>
      <c r="BA90" s="512"/>
      <c r="BB90" s="195">
        <f>$AX$48</f>
        <v>0</v>
      </c>
    </row>
    <row r="91" spans="1:69" ht="18" customHeight="1" x14ac:dyDescent="0.3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R91" s="26"/>
      <c r="S91" s="26"/>
      <c r="T91" s="23"/>
      <c r="U91" s="19"/>
      <c r="V91" s="14"/>
      <c r="W91" s="14"/>
      <c r="X91" s="19"/>
      <c r="AI91" s="501" t="str">
        <f>'Kosten-Stellen'!C17</f>
        <v>LG LaStP allgemein</v>
      </c>
      <c r="AJ91" s="501"/>
      <c r="AK91" s="501"/>
      <c r="AL91" s="16">
        <f>'Kosten-Stellen'!B17</f>
        <v>97050500</v>
      </c>
      <c r="AM91" s="501" t="str">
        <f>'Kosten-Stellen'!D17</f>
        <v>Lehrgang Landesstützpunkte allgemein (übergreifend)</v>
      </c>
      <c r="AN91" s="501"/>
      <c r="AO91" s="501"/>
      <c r="AP91" s="501"/>
      <c r="AQ91" s="501"/>
      <c r="AR91" s="506" t="str">
        <f>'Kosten-Stellen'!E17</f>
        <v>Lehrgänge</v>
      </c>
      <c r="AS91" s="507"/>
      <c r="AT91" s="508"/>
      <c r="AU91" s="246"/>
      <c r="AW91" s="97"/>
      <c r="AX91" s="97">
        <f>AY$59</f>
        <v>0</v>
      </c>
      <c r="AY91" s="97">
        <f>AI$61</f>
        <v>2566</v>
      </c>
      <c r="AZ91" s="510" t="str">
        <f>AJ$61</f>
        <v>Mietwagen/ Bus</v>
      </c>
      <c r="BA91" s="510"/>
      <c r="BB91" s="185">
        <f>$AY$48</f>
        <v>0</v>
      </c>
    </row>
    <row r="92" spans="1:69" ht="18" customHeight="1" x14ac:dyDescent="0.3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R92" s="26"/>
      <c r="S92" s="26"/>
      <c r="T92" s="23"/>
      <c r="V92" s="14"/>
      <c r="W92" s="14"/>
      <c r="X92" s="19"/>
      <c r="AI92" s="501" t="str">
        <f>'Kosten-Stellen'!C18</f>
        <v>LG LaStP Freiburg</v>
      </c>
      <c r="AJ92" s="501"/>
      <c r="AK92" s="501"/>
      <c r="AL92" s="16">
        <f>'Kosten-Stellen'!B18</f>
        <v>97051500</v>
      </c>
      <c r="AM92" s="501" t="str">
        <f>'Kosten-Stellen'!D18</f>
        <v>Lehrgang Landesstützpunkt Freiburg</v>
      </c>
      <c r="AN92" s="501"/>
      <c r="AO92" s="501"/>
      <c r="AP92" s="501"/>
      <c r="AQ92" s="501"/>
      <c r="AR92" s="506" t="str">
        <f>'Kosten-Stellen'!E18</f>
        <v>Lehrgänge</v>
      </c>
      <c r="AS92" s="507"/>
      <c r="AT92" s="508"/>
      <c r="AU92" s="246"/>
      <c r="AW92" s="16"/>
      <c r="AX92" s="16">
        <f>AZ$59</f>
        <v>0</v>
      </c>
      <c r="AY92" s="16">
        <f>AI$62</f>
        <v>2567</v>
      </c>
      <c r="AZ92" s="278" t="str">
        <f>AJ$62</f>
        <v>Hotel-Kosten</v>
      </c>
      <c r="BA92" s="278"/>
      <c r="BB92" s="28">
        <f>$AZ$48</f>
        <v>0</v>
      </c>
    </row>
    <row r="93" spans="1:69" ht="18" customHeight="1" x14ac:dyDescent="0.3">
      <c r="T93" s="23"/>
      <c r="U93" s="156"/>
      <c r="V93" s="14"/>
      <c r="W93" s="14"/>
      <c r="X93" s="19"/>
      <c r="AI93" s="501" t="str">
        <f>'Kosten-Stellen'!C19</f>
        <v>LG LaStP Karlsruhe</v>
      </c>
      <c r="AJ93" s="501"/>
      <c r="AK93" s="501"/>
      <c r="AL93" s="16">
        <f>'Kosten-Stellen'!B19</f>
        <v>97052500</v>
      </c>
      <c r="AM93" s="501" t="str">
        <f>'Kosten-Stellen'!D19</f>
        <v>Lehrgang Landesstützpunkt Karlsruhe</v>
      </c>
      <c r="AN93" s="501"/>
      <c r="AO93" s="501"/>
      <c r="AP93" s="501"/>
      <c r="AQ93" s="501"/>
      <c r="AR93" s="506" t="str">
        <f>'Kosten-Stellen'!E19</f>
        <v>Lehrgänge</v>
      </c>
      <c r="AS93" s="507"/>
      <c r="AT93" s="508"/>
      <c r="AU93" s="246"/>
      <c r="AW93" s="16"/>
      <c r="AX93" s="16">
        <f>BA$59</f>
        <v>0</v>
      </c>
      <c r="AY93" s="16">
        <f>AI$63</f>
        <v>2568</v>
      </c>
      <c r="AZ93" s="278" t="str">
        <f>AJ$63</f>
        <v>Sportschule</v>
      </c>
      <c r="BA93" s="278"/>
      <c r="BB93" s="28">
        <f>$BA$48</f>
        <v>0</v>
      </c>
    </row>
    <row r="94" spans="1:69" ht="18" customHeight="1" x14ac:dyDescent="0.3">
      <c r="T94" s="23"/>
      <c r="U94" s="156"/>
      <c r="V94" s="14"/>
      <c r="W94" s="14"/>
      <c r="X94" s="19"/>
      <c r="AI94" s="501" t="str">
        <f>'Kosten-Stellen'!C20</f>
        <v>LG LaStP Heilbronn</v>
      </c>
      <c r="AJ94" s="501"/>
      <c r="AK94" s="501"/>
      <c r="AL94" s="16">
        <f>'Kosten-Stellen'!B20</f>
        <v>97053500</v>
      </c>
      <c r="AM94" s="501" t="str">
        <f>'Kosten-Stellen'!D20</f>
        <v>Lehrgang Landesstützpunkt Heilbronn</v>
      </c>
      <c r="AN94" s="501"/>
      <c r="AO94" s="501"/>
      <c r="AP94" s="501"/>
      <c r="AQ94" s="501"/>
      <c r="AR94" s="506" t="str">
        <f>'Kosten-Stellen'!E20</f>
        <v>Lehrgänge</v>
      </c>
      <c r="AS94" s="507"/>
      <c r="AT94" s="508"/>
      <c r="AU94" s="246"/>
      <c r="AW94" s="16"/>
      <c r="AX94" s="16">
        <f>BB$59</f>
        <v>0</v>
      </c>
      <c r="AY94" s="16">
        <f>AI$64</f>
        <v>2570</v>
      </c>
      <c r="AZ94" s="278" t="str">
        <f>AJ$64</f>
        <v>Bewirtung</v>
      </c>
      <c r="BA94" s="278"/>
      <c r="BB94" s="28">
        <f>$BB$48</f>
        <v>0</v>
      </c>
    </row>
    <row r="95" spans="1:69" ht="18" customHeight="1" x14ac:dyDescent="0.3">
      <c r="T95" s="23"/>
      <c r="U95" s="156"/>
      <c r="V95" s="14"/>
      <c r="W95" s="14"/>
      <c r="X95" s="19"/>
      <c r="AI95" s="501" t="str">
        <f>'Kosten-Stellen'!C21</f>
        <v>LG LaStP Böblingen</v>
      </c>
      <c r="AJ95" s="501"/>
      <c r="AK95" s="501"/>
      <c r="AL95" s="16">
        <f>'Kosten-Stellen'!B21</f>
        <v>97054500</v>
      </c>
      <c r="AM95" s="501" t="str">
        <f>'Kosten-Stellen'!D21</f>
        <v>Lehrgang Landesstützpunkt Böblingen</v>
      </c>
      <c r="AN95" s="501"/>
      <c r="AO95" s="501"/>
      <c r="AP95" s="501"/>
      <c r="AQ95" s="501"/>
      <c r="AR95" s="506" t="str">
        <f>'Kosten-Stellen'!E21</f>
        <v>Lehrgänge</v>
      </c>
      <c r="AS95" s="507"/>
      <c r="AT95" s="508"/>
      <c r="AU95" s="246"/>
      <c r="AW95" s="16"/>
      <c r="AX95" s="16">
        <f>BC$59</f>
        <v>0</v>
      </c>
      <c r="AY95" s="16">
        <f>AI$65</f>
        <v>2661</v>
      </c>
      <c r="AZ95" s="278" t="str">
        <f>AJ$65</f>
        <v>Raummiete</v>
      </c>
      <c r="BA95" s="278"/>
      <c r="BB95" s="28">
        <f>$BC$48</f>
        <v>0</v>
      </c>
    </row>
    <row r="96" spans="1:69" ht="18" customHeight="1" x14ac:dyDescent="0.3">
      <c r="T96" s="23"/>
      <c r="U96" s="156"/>
      <c r="V96" s="14"/>
      <c r="W96" s="14"/>
      <c r="X96" s="19"/>
      <c r="AI96" s="501" t="str">
        <f>'Kosten-Stellen'!C22</f>
        <v>LG LaStP Ulm</v>
      </c>
      <c r="AJ96" s="501"/>
      <c r="AK96" s="501"/>
      <c r="AL96" s="16">
        <f>'Kosten-Stellen'!B22</f>
        <v>97055500</v>
      </c>
      <c r="AM96" s="501" t="str">
        <f>'Kosten-Stellen'!D22</f>
        <v>Lehrgang Landesstützpunkt Ulm</v>
      </c>
      <c r="AN96" s="501"/>
      <c r="AO96" s="501"/>
      <c r="AP96" s="501"/>
      <c r="AQ96" s="501"/>
      <c r="AR96" s="506" t="str">
        <f>'Kosten-Stellen'!E22</f>
        <v>Lehrgänge</v>
      </c>
      <c r="AS96" s="507"/>
      <c r="AT96" s="508"/>
      <c r="AU96" s="246"/>
      <c r="AW96" s="192"/>
      <c r="AX96" s="16">
        <f>BD$59</f>
        <v>0</v>
      </c>
      <c r="AY96" s="16">
        <f>AI$66</f>
        <v>2704</v>
      </c>
      <c r="AZ96" s="278" t="str">
        <f>AJ$66</f>
        <v>Sonst. Reisekosten</v>
      </c>
      <c r="BA96" s="278"/>
      <c r="BB96" s="28">
        <f>$BD$48</f>
        <v>0</v>
      </c>
    </row>
    <row r="97" spans="20:54" ht="18" customHeight="1" x14ac:dyDescent="0.3">
      <c r="T97" s="23"/>
      <c r="U97" s="156"/>
      <c r="V97" s="14"/>
      <c r="W97" s="14"/>
      <c r="X97" s="19"/>
      <c r="AI97" s="501" t="str">
        <f>'Kosten-Stellen'!C23</f>
        <v>TR LaStP Freiburg</v>
      </c>
      <c r="AJ97" s="501"/>
      <c r="AK97" s="501"/>
      <c r="AL97" s="16">
        <f>'Kosten-Stellen'!B23</f>
        <v>97051000</v>
      </c>
      <c r="AM97" s="501" t="str">
        <f>'Kosten-Stellen'!D23</f>
        <v>Training Landesstützpunkt Freiburg</v>
      </c>
      <c r="AN97" s="501"/>
      <c r="AO97" s="501"/>
      <c r="AP97" s="501"/>
      <c r="AQ97" s="501"/>
      <c r="AR97" s="506" t="str">
        <f>'Kosten-Stellen'!E23</f>
        <v>Trainingsmaßnahmen</v>
      </c>
      <c r="AS97" s="507"/>
      <c r="AT97" s="508"/>
      <c r="AU97" s="246"/>
      <c r="AW97" s="192"/>
      <c r="AX97" s="16">
        <f>BE$59</f>
        <v>0</v>
      </c>
      <c r="AY97" s="16">
        <f>AI$67</f>
        <v>2802</v>
      </c>
      <c r="AZ97" s="101" t="str">
        <f>AJ$67</f>
        <v>Geschenke</v>
      </c>
      <c r="BA97" s="101"/>
      <c r="BB97" s="28">
        <f>$BE$48</f>
        <v>0</v>
      </c>
    </row>
    <row r="98" spans="20:54" ht="18" customHeight="1" thickBot="1" x14ac:dyDescent="0.35">
      <c r="AI98" s="501" t="str">
        <f>'Kosten-Stellen'!C24</f>
        <v>TR LaStP Karlsruhe</v>
      </c>
      <c r="AJ98" s="501"/>
      <c r="AK98" s="501"/>
      <c r="AL98" s="16">
        <f>'Kosten-Stellen'!B24</f>
        <v>97052000</v>
      </c>
      <c r="AM98" s="501" t="str">
        <f>'Kosten-Stellen'!D24</f>
        <v>Training Landesstützpunkt Karlsruhe</v>
      </c>
      <c r="AN98" s="501"/>
      <c r="AO98" s="501"/>
      <c r="AP98" s="501"/>
      <c r="AQ98" s="501"/>
      <c r="AR98" s="506" t="str">
        <f>'Kosten-Stellen'!E24</f>
        <v>Trainingsmaßnahmen</v>
      </c>
      <c r="AS98" s="507"/>
      <c r="AT98" s="508"/>
      <c r="AU98" s="246"/>
      <c r="AW98" s="193"/>
      <c r="AX98" s="103">
        <f>BF$59</f>
        <v>0</v>
      </c>
      <c r="AY98" s="103">
        <f>AI$68</f>
        <v>2810</v>
      </c>
      <c r="AZ98" s="511" t="str">
        <f>AJ$68</f>
        <v>Repräsentation</v>
      </c>
      <c r="BA98" s="511"/>
      <c r="BB98" s="186">
        <f>$BF$48</f>
        <v>0</v>
      </c>
    </row>
    <row r="99" spans="20:54" ht="18" customHeight="1" x14ac:dyDescent="0.3">
      <c r="AI99" s="501" t="str">
        <f>'Kosten-Stellen'!C25</f>
        <v>TR LaStP Heilbronn</v>
      </c>
      <c r="AJ99" s="501"/>
      <c r="AK99" s="501"/>
      <c r="AL99" s="16">
        <f>'Kosten-Stellen'!B25</f>
        <v>97053000</v>
      </c>
      <c r="AM99" s="501" t="str">
        <f>'Kosten-Stellen'!D25</f>
        <v>Training Landesstützpunkt Heilbronn</v>
      </c>
      <c r="AN99" s="501"/>
      <c r="AO99" s="501"/>
      <c r="AP99" s="501"/>
      <c r="AQ99" s="501"/>
      <c r="AR99" s="506" t="str">
        <f>'Kosten-Stellen'!E25</f>
        <v>Trainingsmaßnahmen</v>
      </c>
      <c r="AS99" s="507"/>
      <c r="AT99" s="508"/>
      <c r="AU99" s="152"/>
      <c r="AW99" s="16">
        <v>3</v>
      </c>
      <c r="AX99" s="16">
        <f>$AV$62</f>
        <v>0</v>
      </c>
      <c r="AY99" s="16">
        <f>AI$71</f>
        <v>2560</v>
      </c>
      <c r="AZ99" s="501" t="str">
        <f>AJ$71</f>
        <v>Fahrtkosten ÖPNV</v>
      </c>
      <c r="BA99" s="501"/>
      <c r="BB99" s="28">
        <f>$AV$49</f>
        <v>0</v>
      </c>
    </row>
    <row r="100" spans="20:54" ht="18" customHeight="1" x14ac:dyDescent="0.3">
      <c r="AI100" s="501" t="str">
        <f>'Kosten-Stellen'!C26</f>
        <v>TR LaStP Böblingen</v>
      </c>
      <c r="AJ100" s="501"/>
      <c r="AK100" s="501"/>
      <c r="AL100" s="16">
        <f>'Kosten-Stellen'!B26</f>
        <v>97054000</v>
      </c>
      <c r="AM100" s="501" t="str">
        <f>'Kosten-Stellen'!D26</f>
        <v>Training Landesstützpunkt Böblingen</v>
      </c>
      <c r="AN100" s="501"/>
      <c r="AO100" s="501"/>
      <c r="AP100" s="501"/>
      <c r="AQ100" s="501"/>
      <c r="AR100" s="506" t="str">
        <f>'Kosten-Stellen'!E26</f>
        <v>Trainingsmaßnahmen</v>
      </c>
      <c r="AS100" s="507"/>
      <c r="AT100" s="508"/>
      <c r="AU100" s="152"/>
      <c r="AW100" s="16"/>
      <c r="AX100" s="16">
        <f>$AW$62</f>
        <v>0</v>
      </c>
      <c r="AY100" s="16">
        <f>AI$72</f>
        <v>2562</v>
      </c>
      <c r="AZ100" s="501" t="str">
        <f>AJ$72</f>
        <v>Fahrtkosten PKW</v>
      </c>
      <c r="BA100" s="501"/>
      <c r="BB100" s="28">
        <f>$AW$49</f>
        <v>0</v>
      </c>
    </row>
    <row r="101" spans="20:54" ht="18" customHeight="1" thickBot="1" x14ac:dyDescent="0.35">
      <c r="AI101" s="501" t="str">
        <f>'Kosten-Stellen'!C27</f>
        <v>TR LaStP Ulm</v>
      </c>
      <c r="AJ101" s="501"/>
      <c r="AK101" s="501"/>
      <c r="AL101" s="16">
        <f>'Kosten-Stellen'!B27</f>
        <v>97055000</v>
      </c>
      <c r="AM101" s="501" t="str">
        <f>'Kosten-Stellen'!D27</f>
        <v>Training Landesstützpunkt Ulm</v>
      </c>
      <c r="AN101" s="501"/>
      <c r="AO101" s="501"/>
      <c r="AP101" s="501"/>
      <c r="AQ101" s="501"/>
      <c r="AR101" s="506" t="str">
        <f>'Kosten-Stellen'!E27</f>
        <v>Trainingsmaßnahmen</v>
      </c>
      <c r="AS101" s="507"/>
      <c r="AT101" s="508"/>
      <c r="AU101" s="152"/>
      <c r="AW101" s="194"/>
      <c r="AX101" s="194">
        <f>$AX$62</f>
        <v>0</v>
      </c>
      <c r="AY101" s="194">
        <f>AI$73</f>
        <v>2569</v>
      </c>
      <c r="AZ101" s="512" t="str">
        <f>AJ$73</f>
        <v>Tagegeld</v>
      </c>
      <c r="BA101" s="512"/>
      <c r="BB101" s="195">
        <f>$AX$49</f>
        <v>0</v>
      </c>
    </row>
    <row r="102" spans="20:54" ht="18" customHeight="1" x14ac:dyDescent="0.3">
      <c r="AI102" s="501" t="str">
        <f>'Kosten-Stellen'!C28</f>
        <v>C-Lizenz Ausbi</v>
      </c>
      <c r="AJ102" s="501"/>
      <c r="AK102" s="501"/>
      <c r="AL102" s="16">
        <f>'Kosten-Stellen'!B28</f>
        <v>98000010</v>
      </c>
      <c r="AM102" s="501" t="str">
        <f>'Kosten-Stellen'!D28</f>
        <v>C-Lizenz</v>
      </c>
      <c r="AN102" s="501"/>
      <c r="AO102" s="501"/>
      <c r="AP102" s="501"/>
      <c r="AQ102" s="501"/>
      <c r="AR102" s="506" t="str">
        <f>'Kosten-Stellen'!E28</f>
        <v>Aus- und Fortbildung</v>
      </c>
      <c r="AS102" s="507"/>
      <c r="AT102" s="508"/>
      <c r="AU102" s="152"/>
      <c r="AW102" s="97"/>
      <c r="AX102" s="97">
        <f>AY$62</f>
        <v>0</v>
      </c>
      <c r="AY102" s="97">
        <f>AI$61</f>
        <v>2566</v>
      </c>
      <c r="AZ102" s="510" t="str">
        <f>AJ$61</f>
        <v>Mietwagen/ Bus</v>
      </c>
      <c r="BA102" s="510"/>
      <c r="BB102" s="185">
        <f>$AY$49</f>
        <v>0</v>
      </c>
    </row>
    <row r="103" spans="20:54" ht="18" customHeight="1" x14ac:dyDescent="0.3">
      <c r="AI103" s="501" t="str">
        <f>'Kosten-Stellen'!C29</f>
        <v>B-Lizenz Ausbi</v>
      </c>
      <c r="AJ103" s="501"/>
      <c r="AK103" s="501"/>
      <c r="AL103" s="16">
        <f>'Kosten-Stellen'!B29</f>
        <v>98000020</v>
      </c>
      <c r="AM103" s="501" t="str">
        <f>'Kosten-Stellen'!D29</f>
        <v>B-Lizenz</v>
      </c>
      <c r="AN103" s="501"/>
      <c r="AO103" s="501"/>
      <c r="AP103" s="501"/>
      <c r="AQ103" s="501"/>
      <c r="AR103" s="506" t="str">
        <f>'Kosten-Stellen'!E29</f>
        <v>Aus- und Fortbildung</v>
      </c>
      <c r="AS103" s="507"/>
      <c r="AT103" s="508"/>
      <c r="AU103" s="162"/>
      <c r="AW103" s="16"/>
      <c r="AX103" s="16">
        <f>AZ$62</f>
        <v>0</v>
      </c>
      <c r="AY103" s="16">
        <f>AI$62</f>
        <v>2567</v>
      </c>
      <c r="AZ103" s="278" t="str">
        <f>AJ$62</f>
        <v>Hotel-Kosten</v>
      </c>
      <c r="BA103" s="278"/>
      <c r="BB103" s="28">
        <f>$AZ$49</f>
        <v>0</v>
      </c>
    </row>
    <row r="104" spans="20:54" ht="18" customHeight="1" x14ac:dyDescent="0.3">
      <c r="AI104" s="501" t="str">
        <f>'Kosten-Stellen'!C30</f>
        <v>Mentoren-Ausbi</v>
      </c>
      <c r="AJ104" s="501"/>
      <c r="AK104" s="501"/>
      <c r="AL104" s="16">
        <f>'Kosten-Stellen'!B30</f>
        <v>98000030</v>
      </c>
      <c r="AM104" s="501" t="str">
        <f>'Kosten-Stellen'!D30</f>
        <v>Mentorenausbildung</v>
      </c>
      <c r="AN104" s="501"/>
      <c r="AO104" s="501"/>
      <c r="AP104" s="501"/>
      <c r="AQ104" s="501"/>
      <c r="AR104" s="506" t="str">
        <f>'Kosten-Stellen'!E30</f>
        <v>Aus- und Fortbildung</v>
      </c>
      <c r="AS104" s="507"/>
      <c r="AT104" s="508"/>
      <c r="AU104" s="162"/>
      <c r="AW104" s="16"/>
      <c r="AX104" s="16">
        <f>BA$62</f>
        <v>0</v>
      </c>
      <c r="AY104" s="16">
        <f>AI$63</f>
        <v>2568</v>
      </c>
      <c r="AZ104" s="278" t="str">
        <f>AJ$63</f>
        <v>Sportschule</v>
      </c>
      <c r="BA104" s="278"/>
      <c r="BB104" s="28">
        <f>$BA$49</f>
        <v>0</v>
      </c>
    </row>
    <row r="105" spans="20:54" ht="18" customHeight="1" x14ac:dyDescent="0.3">
      <c r="AI105" s="501" t="str">
        <f>'Kosten-Stellen'!C31</f>
        <v>Lehrer-Fobi</v>
      </c>
      <c r="AJ105" s="501"/>
      <c r="AK105" s="501"/>
      <c r="AL105" s="16">
        <f>'Kosten-Stellen'!B31</f>
        <v>98000040</v>
      </c>
      <c r="AM105" s="501" t="str">
        <f>'Kosten-Stellen'!D31</f>
        <v>Lehrerfortbildung</v>
      </c>
      <c r="AN105" s="501"/>
      <c r="AO105" s="501"/>
      <c r="AP105" s="501"/>
      <c r="AQ105" s="501"/>
      <c r="AR105" s="506" t="str">
        <f>'Kosten-Stellen'!E31</f>
        <v>Aus- und Fortbildung</v>
      </c>
      <c r="AS105" s="507"/>
      <c r="AT105" s="508"/>
      <c r="AW105" s="16"/>
      <c r="AX105" s="16">
        <f>BB$62</f>
        <v>0</v>
      </c>
      <c r="AY105" s="16">
        <f>AI$64</f>
        <v>2570</v>
      </c>
      <c r="AZ105" s="278" t="str">
        <f>AJ$64</f>
        <v>Bewirtung</v>
      </c>
      <c r="BA105" s="278"/>
      <c r="BB105" s="28">
        <f>$BB$49</f>
        <v>0</v>
      </c>
    </row>
    <row r="106" spans="20:54" ht="18" customHeight="1" x14ac:dyDescent="0.3">
      <c r="AI106" s="501" t="str">
        <f>'Kosten-Stellen'!C32</f>
        <v>C-Trainer-Fobi</v>
      </c>
      <c r="AJ106" s="501"/>
      <c r="AK106" s="501"/>
      <c r="AL106" s="16">
        <f>'Kosten-Stellen'!B32</f>
        <v>98000050</v>
      </c>
      <c r="AM106" s="501" t="str">
        <f>'Kosten-Stellen'!D32</f>
        <v>C-Fortbildung</v>
      </c>
      <c r="AN106" s="501"/>
      <c r="AO106" s="501"/>
      <c r="AP106" s="501"/>
      <c r="AQ106" s="501"/>
      <c r="AR106" s="506" t="str">
        <f>'Kosten-Stellen'!E32</f>
        <v>Aus- und Fortbildung</v>
      </c>
      <c r="AS106" s="507"/>
      <c r="AT106" s="508"/>
      <c r="AW106" s="16"/>
      <c r="AX106" s="16">
        <f>BC$62</f>
        <v>0</v>
      </c>
      <c r="AY106" s="16">
        <f>AI$65</f>
        <v>2661</v>
      </c>
      <c r="AZ106" s="278" t="str">
        <f>AJ$65</f>
        <v>Raummiete</v>
      </c>
      <c r="BA106" s="278"/>
      <c r="BB106" s="28">
        <f>$BC$49</f>
        <v>0</v>
      </c>
    </row>
    <row r="107" spans="20:54" ht="18" customHeight="1" x14ac:dyDescent="0.3">
      <c r="AI107" s="501" t="str">
        <f>'Kosten-Stellen'!C33</f>
        <v>Vereinsservicetag</v>
      </c>
      <c r="AJ107" s="501"/>
      <c r="AK107" s="501"/>
      <c r="AL107" s="16">
        <f>'Kosten-Stellen'!B33</f>
        <v>98000060</v>
      </c>
      <c r="AM107" s="501" t="str">
        <f>'Kosten-Stellen'!D33</f>
        <v>Vereinsservicetag</v>
      </c>
      <c r="AN107" s="501"/>
      <c r="AO107" s="501"/>
      <c r="AP107" s="501"/>
      <c r="AQ107" s="501"/>
      <c r="AR107" s="506" t="str">
        <f>'Kosten-Stellen'!E33</f>
        <v>Aus- und Fortbildung</v>
      </c>
      <c r="AS107" s="507"/>
      <c r="AT107" s="508"/>
      <c r="AW107" s="192"/>
      <c r="AX107" s="16">
        <f>BD$62</f>
        <v>0</v>
      </c>
      <c r="AY107" s="16">
        <f>AI$66</f>
        <v>2704</v>
      </c>
      <c r="AZ107" s="278" t="str">
        <f>AJ$66</f>
        <v>Sonst. Reisekosten</v>
      </c>
      <c r="BA107" s="278"/>
      <c r="BB107" s="28">
        <f>$BD$49</f>
        <v>0</v>
      </c>
    </row>
    <row r="108" spans="20:54" ht="18" customHeight="1" x14ac:dyDescent="0.3">
      <c r="AI108" s="501" t="str">
        <f>'Kosten-Stellen'!C34</f>
        <v>Fü-Sem</v>
      </c>
      <c r="AJ108" s="501"/>
      <c r="AK108" s="501"/>
      <c r="AL108" s="16">
        <f>'Kosten-Stellen'!B34</f>
        <v>98000070</v>
      </c>
      <c r="AM108" s="501" t="str">
        <f>'Kosten-Stellen'!D34</f>
        <v xml:space="preserve">Führungsseminar </v>
      </c>
      <c r="AN108" s="501"/>
      <c r="AO108" s="501"/>
      <c r="AP108" s="501"/>
      <c r="AQ108" s="501"/>
      <c r="AR108" s="506" t="str">
        <f>'Kosten-Stellen'!E34</f>
        <v>Aus- und Fortbildung</v>
      </c>
      <c r="AS108" s="507"/>
      <c r="AT108" s="508"/>
      <c r="AW108" s="192"/>
      <c r="AX108" s="16">
        <f>BE$62</f>
        <v>0</v>
      </c>
      <c r="AY108" s="16">
        <f>AI$67</f>
        <v>2802</v>
      </c>
      <c r="AZ108" s="101" t="str">
        <f>AJ$67</f>
        <v>Geschenke</v>
      </c>
      <c r="BA108" s="101"/>
      <c r="BB108" s="28">
        <f>$BE$49</f>
        <v>0</v>
      </c>
    </row>
    <row r="109" spans="20:54" ht="18" customHeight="1" thickBot="1" x14ac:dyDescent="0.35">
      <c r="AI109" s="502" t="str">
        <f>'Kosten-Stellen'!C35</f>
        <v>Fobi Landestrainer</v>
      </c>
      <c r="AJ109" s="502"/>
      <c r="AK109" s="502"/>
      <c r="AL109" s="198">
        <f>'Kosten-Stellen'!B35</f>
        <v>98000080</v>
      </c>
      <c r="AM109" s="501" t="str">
        <f>'Kosten-Stellen'!D35</f>
        <v>Fortbildung Landestrainer</v>
      </c>
      <c r="AN109" s="501"/>
      <c r="AO109" s="501"/>
      <c r="AP109" s="501"/>
      <c r="AQ109" s="501"/>
      <c r="AR109" s="513" t="str">
        <f>'Kosten-Stellen'!E35</f>
        <v>Aus- und Fortbildung</v>
      </c>
      <c r="AS109" s="509"/>
      <c r="AT109" s="514"/>
      <c r="AW109" s="193"/>
      <c r="AX109" s="103">
        <f>BF$62</f>
        <v>0</v>
      </c>
      <c r="AY109" s="103">
        <f>AI$68</f>
        <v>2810</v>
      </c>
      <c r="AZ109" s="511" t="str">
        <f>AJ$68</f>
        <v>Repräsentation</v>
      </c>
      <c r="BA109" s="511"/>
      <c r="BB109" s="186">
        <f>$BF$49</f>
        <v>0</v>
      </c>
    </row>
    <row r="110" spans="20:54" ht="18" customHeight="1" x14ac:dyDescent="0.3">
      <c r="AI110" s="503"/>
      <c r="AJ110" s="503"/>
      <c r="AK110" s="503"/>
      <c r="AL110" s="56"/>
      <c r="AM110" s="56"/>
      <c r="AN110" s="56"/>
      <c r="AO110" s="509"/>
      <c r="AP110" s="509"/>
      <c r="AQ110" s="509"/>
      <c r="AR110" s="509"/>
      <c r="AS110" s="509"/>
      <c r="AT110" s="509"/>
      <c r="AW110" s="16">
        <v>4</v>
      </c>
      <c r="AX110" s="16">
        <f>$AV$65</f>
        <v>0</v>
      </c>
      <c r="AY110" s="16">
        <f>AI$71</f>
        <v>2560</v>
      </c>
      <c r="AZ110" s="501" t="str">
        <f>AJ$71</f>
        <v>Fahrtkosten ÖPNV</v>
      </c>
      <c r="BA110" s="501"/>
      <c r="BB110" s="28">
        <f>$AV$50</f>
        <v>0</v>
      </c>
    </row>
    <row r="111" spans="20:54" ht="18" customHeight="1" x14ac:dyDescent="0.3">
      <c r="AI111" s="272"/>
      <c r="AJ111" s="272"/>
      <c r="AK111" s="272"/>
      <c r="AL111" s="14"/>
      <c r="AM111" s="14"/>
      <c r="AN111" s="14"/>
      <c r="AO111" s="273"/>
      <c r="AP111" s="273"/>
      <c r="AQ111" s="273"/>
      <c r="AR111" s="273"/>
      <c r="AS111" s="273"/>
      <c r="AT111" s="273"/>
      <c r="AW111" s="16"/>
      <c r="AX111" s="16">
        <f>$AW$65</f>
        <v>0</v>
      </c>
      <c r="AY111" s="16">
        <f>AI$72</f>
        <v>2562</v>
      </c>
      <c r="AZ111" s="501" t="str">
        <f>AJ$72</f>
        <v>Fahrtkosten PKW</v>
      </c>
      <c r="BA111" s="501"/>
      <c r="BB111" s="28">
        <f>$AW$50</f>
        <v>0</v>
      </c>
    </row>
    <row r="112" spans="20:54" ht="18" customHeight="1" thickBot="1" x14ac:dyDescent="0.35">
      <c r="AI112" s="272"/>
      <c r="AJ112" s="272"/>
      <c r="AK112" s="272"/>
      <c r="AL112" s="14"/>
      <c r="AM112" s="14"/>
      <c r="AN112" s="14"/>
      <c r="AO112" s="273"/>
      <c r="AP112" s="273"/>
      <c r="AQ112" s="273"/>
      <c r="AR112" s="273"/>
      <c r="AS112" s="273"/>
      <c r="AT112" s="273"/>
      <c r="AW112" s="194"/>
      <c r="AX112" s="194">
        <f>$AX$65</f>
        <v>0</v>
      </c>
      <c r="AY112" s="194">
        <f>AI$73</f>
        <v>2569</v>
      </c>
      <c r="AZ112" s="512" t="str">
        <f>AJ$73</f>
        <v>Tagegeld</v>
      </c>
      <c r="BA112" s="512"/>
      <c r="BB112" s="195">
        <f>$AX$50</f>
        <v>0</v>
      </c>
    </row>
    <row r="113" spans="35:54" ht="18" customHeight="1" x14ac:dyDescent="0.3">
      <c r="AI113" s="272"/>
      <c r="AJ113" s="272"/>
      <c r="AK113" s="272"/>
      <c r="AL113" s="14"/>
      <c r="AM113" s="14"/>
      <c r="AN113" s="14"/>
      <c r="AO113" s="273"/>
      <c r="AP113" s="273"/>
      <c r="AQ113" s="273"/>
      <c r="AR113" s="273"/>
      <c r="AS113" s="273"/>
      <c r="AT113" s="273"/>
      <c r="AW113" s="97"/>
      <c r="AX113" s="97">
        <f>AY$65</f>
        <v>0</v>
      </c>
      <c r="AY113" s="97">
        <f>AI$61</f>
        <v>2566</v>
      </c>
      <c r="AZ113" s="510" t="str">
        <f>AJ$61</f>
        <v>Mietwagen/ Bus</v>
      </c>
      <c r="BA113" s="510"/>
      <c r="BB113" s="185">
        <f>$AY$50</f>
        <v>0</v>
      </c>
    </row>
    <row r="114" spans="35:54" ht="18" customHeight="1" x14ac:dyDescent="0.3">
      <c r="AI114" s="272"/>
      <c r="AJ114" s="272"/>
      <c r="AK114" s="272"/>
      <c r="AL114" s="14"/>
      <c r="AM114" s="14"/>
      <c r="AN114" s="14"/>
      <c r="AO114" s="273"/>
      <c r="AP114" s="273"/>
      <c r="AQ114" s="273"/>
      <c r="AR114" s="273"/>
      <c r="AS114" s="273"/>
      <c r="AT114" s="273"/>
      <c r="AW114" s="16"/>
      <c r="AX114" s="16">
        <f>AZ$65</f>
        <v>0</v>
      </c>
      <c r="AY114" s="16">
        <f>AI$62</f>
        <v>2567</v>
      </c>
      <c r="AZ114" s="278" t="str">
        <f>AJ$62</f>
        <v>Hotel-Kosten</v>
      </c>
      <c r="BA114" s="278"/>
      <c r="BB114" s="28">
        <f>$AZ$50</f>
        <v>0</v>
      </c>
    </row>
    <row r="115" spans="35:54" ht="18" customHeight="1" x14ac:dyDescent="0.3">
      <c r="AI115" s="272"/>
      <c r="AJ115" s="272"/>
      <c r="AK115" s="272"/>
      <c r="AL115" s="14"/>
      <c r="AM115" s="14"/>
      <c r="AN115" s="14"/>
      <c r="AO115" s="273"/>
      <c r="AP115" s="273"/>
      <c r="AQ115" s="273"/>
      <c r="AR115" s="273"/>
      <c r="AS115" s="273"/>
      <c r="AT115" s="273"/>
      <c r="AW115" s="16"/>
      <c r="AX115" s="16">
        <f>BA$65</f>
        <v>0</v>
      </c>
      <c r="AY115" s="16">
        <f>AI$63</f>
        <v>2568</v>
      </c>
      <c r="AZ115" s="278" t="str">
        <f>AJ$63</f>
        <v>Sportschule</v>
      </c>
      <c r="BA115" s="278"/>
      <c r="BB115" s="28">
        <f>$BA$50</f>
        <v>0</v>
      </c>
    </row>
    <row r="116" spans="35:54" ht="18" customHeight="1" x14ac:dyDescent="0.3">
      <c r="AI116" s="272"/>
      <c r="AJ116" s="272"/>
      <c r="AK116" s="272"/>
      <c r="AL116" s="14"/>
      <c r="AM116" s="14"/>
      <c r="AN116" s="14"/>
      <c r="AO116" s="273"/>
      <c r="AP116" s="273"/>
      <c r="AQ116" s="273"/>
      <c r="AR116" s="273"/>
      <c r="AS116" s="273"/>
      <c r="AT116" s="273"/>
      <c r="AW116" s="16"/>
      <c r="AX116" s="16">
        <f>BB$65</f>
        <v>0</v>
      </c>
      <c r="AY116" s="16">
        <f>AI$64</f>
        <v>2570</v>
      </c>
      <c r="AZ116" s="278" t="str">
        <f>AJ$64</f>
        <v>Bewirtung</v>
      </c>
      <c r="BA116" s="278"/>
      <c r="BB116" s="28">
        <f>$BB$50</f>
        <v>0</v>
      </c>
    </row>
    <row r="117" spans="35:54" ht="18" customHeight="1" x14ac:dyDescent="0.3">
      <c r="AI117" s="272"/>
      <c r="AJ117" s="272"/>
      <c r="AK117" s="272"/>
      <c r="AL117" s="14"/>
      <c r="AM117" s="14"/>
      <c r="AN117" s="14"/>
      <c r="AO117" s="273"/>
      <c r="AP117" s="273"/>
      <c r="AQ117" s="273"/>
      <c r="AR117" s="273"/>
      <c r="AS117" s="273"/>
      <c r="AT117" s="273"/>
      <c r="AW117" s="16"/>
      <c r="AX117" s="16">
        <f>BC$65</f>
        <v>0</v>
      </c>
      <c r="AY117" s="16">
        <f>AI$65</f>
        <v>2661</v>
      </c>
      <c r="AZ117" s="278" t="str">
        <f>AJ$65</f>
        <v>Raummiete</v>
      </c>
      <c r="BA117" s="278"/>
      <c r="BB117" s="28">
        <f>$BC$50</f>
        <v>0</v>
      </c>
    </row>
    <row r="118" spans="35:54" ht="18" customHeight="1" x14ac:dyDescent="0.3">
      <c r="AI118" s="272"/>
      <c r="AJ118" s="272"/>
      <c r="AK118" s="272"/>
      <c r="AL118" s="14"/>
      <c r="AM118" s="14"/>
      <c r="AN118" s="14"/>
      <c r="AO118" s="273"/>
      <c r="AP118" s="273"/>
      <c r="AQ118" s="273"/>
      <c r="AR118" s="273"/>
      <c r="AS118" s="273"/>
      <c r="AT118" s="273"/>
      <c r="AW118" s="192"/>
      <c r="AX118" s="16">
        <f>BD$65</f>
        <v>0</v>
      </c>
      <c r="AY118" s="16">
        <f>AI$66</f>
        <v>2704</v>
      </c>
      <c r="AZ118" s="278" t="str">
        <f>AJ$66</f>
        <v>Sonst. Reisekosten</v>
      </c>
      <c r="BA118" s="278"/>
      <c r="BB118" s="28">
        <f>$BD$50</f>
        <v>0</v>
      </c>
    </row>
    <row r="119" spans="35:54" ht="18" customHeight="1" x14ac:dyDescent="0.3">
      <c r="AI119" s="272"/>
      <c r="AJ119" s="272"/>
      <c r="AK119" s="272"/>
      <c r="AL119" s="14"/>
      <c r="AM119" s="14"/>
      <c r="AN119" s="14"/>
      <c r="AO119" s="273"/>
      <c r="AP119" s="273"/>
      <c r="AQ119" s="273"/>
      <c r="AR119" s="273"/>
      <c r="AS119" s="273"/>
      <c r="AT119" s="273"/>
      <c r="AW119" s="192"/>
      <c r="AX119" s="16">
        <f>BE$65</f>
        <v>0</v>
      </c>
      <c r="AY119" s="16">
        <f>AI$67</f>
        <v>2802</v>
      </c>
      <c r="AZ119" s="101" t="str">
        <f>AJ$67</f>
        <v>Geschenke</v>
      </c>
      <c r="BA119" s="101"/>
      <c r="BB119" s="28">
        <f>$BE$50</f>
        <v>0</v>
      </c>
    </row>
    <row r="120" spans="35:54" ht="18" customHeight="1" thickBot="1" x14ac:dyDescent="0.35">
      <c r="AI120" s="272"/>
      <c r="AJ120" s="272"/>
      <c r="AK120" s="272"/>
      <c r="AL120" s="14"/>
      <c r="AM120" s="14"/>
      <c r="AN120" s="14"/>
      <c r="AO120" s="273"/>
      <c r="AP120" s="273"/>
      <c r="AQ120" s="273"/>
      <c r="AR120" s="273"/>
      <c r="AS120" s="273"/>
      <c r="AT120" s="273"/>
      <c r="AW120" s="193"/>
      <c r="AX120" s="103">
        <f>BF$65</f>
        <v>0</v>
      </c>
      <c r="AY120" s="103">
        <f>AI$68</f>
        <v>2810</v>
      </c>
      <c r="AZ120" s="511" t="str">
        <f>AJ$68</f>
        <v>Repräsentation</v>
      </c>
      <c r="BA120" s="511"/>
      <c r="BB120" s="186">
        <f>$BF$50</f>
        <v>0</v>
      </c>
    </row>
    <row r="121" spans="35:54" ht="18" customHeight="1" x14ac:dyDescent="0.3">
      <c r="AI121" s="272"/>
      <c r="AJ121" s="272"/>
      <c r="AK121" s="272"/>
      <c r="AL121" s="14"/>
      <c r="AM121" s="14"/>
      <c r="AN121" s="14"/>
      <c r="AO121" s="273"/>
      <c r="AP121" s="273"/>
      <c r="AQ121" s="273"/>
      <c r="AR121" s="273"/>
      <c r="AS121" s="273"/>
      <c r="AT121" s="273"/>
      <c r="AW121" s="16">
        <v>5</v>
      </c>
      <c r="AX121" s="16">
        <f>$AV$68</f>
        <v>0</v>
      </c>
      <c r="AY121" s="16">
        <f>AI$71</f>
        <v>2560</v>
      </c>
      <c r="AZ121" s="501" t="str">
        <f>AJ$71</f>
        <v>Fahrtkosten ÖPNV</v>
      </c>
      <c r="BA121" s="501"/>
      <c r="BB121" s="28">
        <f>$AV$51</f>
        <v>0</v>
      </c>
    </row>
    <row r="122" spans="35:54" ht="18" customHeight="1" x14ac:dyDescent="0.3">
      <c r="AI122" s="272"/>
      <c r="AJ122" s="272"/>
      <c r="AK122" s="272"/>
      <c r="AL122" s="14"/>
      <c r="AM122" s="14"/>
      <c r="AN122" s="14"/>
      <c r="AO122" s="273"/>
      <c r="AP122" s="273"/>
      <c r="AQ122" s="273"/>
      <c r="AR122" s="273"/>
      <c r="AS122" s="273"/>
      <c r="AT122" s="273"/>
      <c r="AW122" s="16"/>
      <c r="AX122" s="16">
        <f>$AW$68</f>
        <v>0</v>
      </c>
      <c r="AY122" s="16">
        <f>AI$72</f>
        <v>2562</v>
      </c>
      <c r="AZ122" s="501" t="str">
        <f>AJ$72</f>
        <v>Fahrtkosten PKW</v>
      </c>
      <c r="BA122" s="501"/>
      <c r="BB122" s="28">
        <f>$AW$51</f>
        <v>0</v>
      </c>
    </row>
    <row r="123" spans="35:54" ht="18" customHeight="1" thickBot="1" x14ac:dyDescent="0.35">
      <c r="AI123" s="272"/>
      <c r="AJ123" s="272"/>
      <c r="AK123" s="272"/>
      <c r="AL123" s="14"/>
      <c r="AM123" s="14"/>
      <c r="AN123" s="14"/>
      <c r="AO123" s="273"/>
      <c r="AP123" s="273"/>
      <c r="AQ123" s="273"/>
      <c r="AR123" s="273"/>
      <c r="AS123" s="273"/>
      <c r="AT123" s="273"/>
      <c r="AW123" s="194"/>
      <c r="AX123" s="194">
        <f>$AX$68</f>
        <v>0</v>
      </c>
      <c r="AY123" s="194">
        <f>AI$73</f>
        <v>2569</v>
      </c>
      <c r="AZ123" s="512" t="str">
        <f>AJ$73</f>
        <v>Tagegeld</v>
      </c>
      <c r="BA123" s="512"/>
      <c r="BB123" s="195">
        <f>$AX$51</f>
        <v>0</v>
      </c>
    </row>
    <row r="124" spans="35:54" ht="18" customHeight="1" x14ac:dyDescent="0.3">
      <c r="AI124" s="272"/>
      <c r="AJ124" s="272"/>
      <c r="AK124" s="272"/>
      <c r="AL124" s="14"/>
      <c r="AM124" s="14"/>
      <c r="AN124" s="14"/>
      <c r="AO124" s="273"/>
      <c r="AP124" s="273"/>
      <c r="AQ124" s="273"/>
      <c r="AR124" s="273"/>
      <c r="AS124" s="273"/>
      <c r="AT124" s="273"/>
      <c r="AW124" s="97"/>
      <c r="AX124" s="97">
        <f>AY$68</f>
        <v>0</v>
      </c>
      <c r="AY124" s="97">
        <f>AI$61</f>
        <v>2566</v>
      </c>
      <c r="AZ124" s="510" t="str">
        <f>AJ$61</f>
        <v>Mietwagen/ Bus</v>
      </c>
      <c r="BA124" s="510"/>
      <c r="BB124" s="185">
        <f>$AY$51</f>
        <v>0</v>
      </c>
    </row>
    <row r="125" spans="35:54" ht="18" customHeight="1" x14ac:dyDescent="0.3">
      <c r="AI125" s="272"/>
      <c r="AJ125" s="272"/>
      <c r="AK125" s="272"/>
      <c r="AL125" s="14"/>
      <c r="AM125" s="14"/>
      <c r="AN125" s="14"/>
      <c r="AO125" s="273"/>
      <c r="AP125" s="273"/>
      <c r="AQ125" s="273"/>
      <c r="AR125" s="273"/>
      <c r="AS125" s="273"/>
      <c r="AT125" s="273"/>
      <c r="AW125" s="16"/>
      <c r="AX125" s="16">
        <f>AZ$68</f>
        <v>0</v>
      </c>
      <c r="AY125" s="16">
        <f>AI$62</f>
        <v>2567</v>
      </c>
      <c r="AZ125" s="278" t="str">
        <f>AJ$62</f>
        <v>Hotel-Kosten</v>
      </c>
      <c r="BA125" s="278"/>
      <c r="BB125" s="28">
        <f>$AZ$51</f>
        <v>0</v>
      </c>
    </row>
    <row r="126" spans="35:54" ht="18" customHeight="1" x14ac:dyDescent="0.3">
      <c r="AI126" s="272"/>
      <c r="AJ126" s="272"/>
      <c r="AK126" s="272"/>
      <c r="AL126" s="14"/>
      <c r="AM126" s="14"/>
      <c r="AN126" s="14"/>
      <c r="AO126" s="273"/>
      <c r="AP126" s="273"/>
      <c r="AQ126" s="273"/>
      <c r="AR126" s="273"/>
      <c r="AS126" s="273"/>
      <c r="AT126" s="273"/>
      <c r="AW126" s="16"/>
      <c r="AX126" s="16">
        <f>BA$68</f>
        <v>0</v>
      </c>
      <c r="AY126" s="16">
        <f>AI$63</f>
        <v>2568</v>
      </c>
      <c r="AZ126" s="278" t="str">
        <f>AJ$63</f>
        <v>Sportschule</v>
      </c>
      <c r="BA126" s="278"/>
      <c r="BB126" s="28">
        <f>$BA$51</f>
        <v>0</v>
      </c>
    </row>
    <row r="127" spans="35:54" ht="18" customHeight="1" x14ac:dyDescent="0.3">
      <c r="AI127" s="272"/>
      <c r="AJ127" s="272"/>
      <c r="AK127" s="272"/>
      <c r="AL127" s="14"/>
      <c r="AM127" s="14"/>
      <c r="AN127" s="14"/>
      <c r="AO127" s="273"/>
      <c r="AP127" s="273"/>
      <c r="AQ127" s="273"/>
      <c r="AR127" s="273"/>
      <c r="AS127" s="273"/>
      <c r="AT127" s="273"/>
      <c r="AW127" s="16"/>
      <c r="AX127" s="16">
        <f>BB$68</f>
        <v>0</v>
      </c>
      <c r="AY127" s="16">
        <f>AI$64</f>
        <v>2570</v>
      </c>
      <c r="AZ127" s="278" t="str">
        <f>AJ$64</f>
        <v>Bewirtung</v>
      </c>
      <c r="BA127" s="278"/>
      <c r="BB127" s="28">
        <f>$BB$51</f>
        <v>0</v>
      </c>
    </row>
    <row r="128" spans="35:54" ht="18" customHeight="1" x14ac:dyDescent="0.3">
      <c r="AI128" s="272"/>
      <c r="AJ128" s="272"/>
      <c r="AK128" s="272"/>
      <c r="AL128" s="14"/>
      <c r="AM128" s="14"/>
      <c r="AN128" s="14"/>
      <c r="AO128" s="273"/>
      <c r="AP128" s="273"/>
      <c r="AQ128" s="273"/>
      <c r="AR128" s="273"/>
      <c r="AS128" s="273"/>
      <c r="AT128" s="273"/>
      <c r="AW128" s="16"/>
      <c r="AX128" s="16">
        <f>BC$68</f>
        <v>0</v>
      </c>
      <c r="AY128" s="16">
        <f>AI$65</f>
        <v>2661</v>
      </c>
      <c r="AZ128" s="278" t="str">
        <f>AJ$65</f>
        <v>Raummiete</v>
      </c>
      <c r="BA128" s="278"/>
      <c r="BB128" s="28">
        <f>$BC$51</f>
        <v>0</v>
      </c>
    </row>
    <row r="129" spans="35:54" ht="18" customHeight="1" x14ac:dyDescent="0.3">
      <c r="AI129" s="272"/>
      <c r="AJ129" s="272"/>
      <c r="AK129" s="272"/>
      <c r="AL129" s="14"/>
      <c r="AM129" s="14"/>
      <c r="AN129" s="14"/>
      <c r="AO129" s="273"/>
      <c r="AP129" s="273"/>
      <c r="AQ129" s="273"/>
      <c r="AR129" s="273"/>
      <c r="AS129" s="273"/>
      <c r="AT129" s="273"/>
      <c r="AW129" s="192"/>
      <c r="AX129" s="16">
        <f>BD$68</f>
        <v>0</v>
      </c>
      <c r="AY129" s="16">
        <f>AI$66</f>
        <v>2704</v>
      </c>
      <c r="AZ129" s="278" t="str">
        <f>AJ$66</f>
        <v>Sonst. Reisekosten</v>
      </c>
      <c r="BA129" s="278"/>
      <c r="BB129" s="28">
        <f>$BD$51</f>
        <v>0</v>
      </c>
    </row>
    <row r="130" spans="35:54" ht="18" customHeight="1" x14ac:dyDescent="0.3">
      <c r="AI130" s="272"/>
      <c r="AJ130" s="272"/>
      <c r="AK130" s="272"/>
      <c r="AL130" s="14"/>
      <c r="AM130" s="14"/>
      <c r="AN130" s="14"/>
      <c r="AO130" s="273"/>
      <c r="AP130" s="273"/>
      <c r="AQ130" s="273"/>
      <c r="AR130" s="273"/>
      <c r="AS130" s="273"/>
      <c r="AT130" s="273"/>
      <c r="AW130" s="192"/>
      <c r="AX130" s="16">
        <f>BE$68</f>
        <v>0</v>
      </c>
      <c r="AY130" s="16">
        <f>AI$67</f>
        <v>2802</v>
      </c>
      <c r="AZ130" s="101" t="str">
        <f>AJ$67</f>
        <v>Geschenke</v>
      </c>
      <c r="BA130" s="101"/>
      <c r="BB130" s="28">
        <f>$BE$51</f>
        <v>0</v>
      </c>
    </row>
    <row r="131" spans="35:54" ht="18" customHeight="1" thickBot="1" x14ac:dyDescent="0.35">
      <c r="AI131" s="272"/>
      <c r="AJ131" s="272"/>
      <c r="AK131" s="272"/>
      <c r="AL131" s="14"/>
      <c r="AM131" s="14"/>
      <c r="AN131" s="14"/>
      <c r="AO131" s="273"/>
      <c r="AP131" s="273"/>
      <c r="AQ131" s="273"/>
      <c r="AR131" s="273"/>
      <c r="AS131" s="273"/>
      <c r="AT131" s="273"/>
      <c r="AW131" s="193"/>
      <c r="AX131" s="103">
        <f>BF$68</f>
        <v>0</v>
      </c>
      <c r="AY131" s="103">
        <f>AI$68</f>
        <v>2810</v>
      </c>
      <c r="AZ131" s="511" t="str">
        <f>AJ$68</f>
        <v>Repräsentation</v>
      </c>
      <c r="BA131" s="511"/>
      <c r="BB131" s="186">
        <f>$BF$51</f>
        <v>0</v>
      </c>
    </row>
    <row r="132" spans="35:54" ht="18" customHeight="1" x14ac:dyDescent="0.3">
      <c r="AI132" s="272"/>
      <c r="AJ132" s="272"/>
      <c r="AK132" s="272"/>
      <c r="AL132" s="14"/>
      <c r="AM132" s="14"/>
      <c r="AN132" s="14"/>
      <c r="AO132" s="273"/>
      <c r="AP132" s="273"/>
      <c r="AQ132" s="273"/>
      <c r="AR132" s="273"/>
      <c r="AS132" s="273"/>
      <c r="AT132" s="273"/>
      <c r="AW132" s="16">
        <v>6</v>
      </c>
      <c r="AX132" s="16">
        <f>$AV$71</f>
        <v>0</v>
      </c>
      <c r="AY132" s="16">
        <f>AI$71</f>
        <v>2560</v>
      </c>
      <c r="AZ132" s="501" t="str">
        <f>AJ$71</f>
        <v>Fahrtkosten ÖPNV</v>
      </c>
      <c r="BA132" s="501"/>
      <c r="BB132" s="28">
        <f>$AV$52</f>
        <v>0</v>
      </c>
    </row>
    <row r="133" spans="35:54" ht="18" customHeight="1" x14ac:dyDescent="0.3">
      <c r="AW133" s="16"/>
      <c r="AX133" s="16">
        <f>$AW$71</f>
        <v>0</v>
      </c>
      <c r="AY133" s="16">
        <f>AI$72</f>
        <v>2562</v>
      </c>
      <c r="AZ133" s="501" t="str">
        <f>AJ$72</f>
        <v>Fahrtkosten PKW</v>
      </c>
      <c r="BA133" s="501"/>
      <c r="BB133" s="28">
        <f>$AW$52</f>
        <v>0</v>
      </c>
    </row>
    <row r="134" spans="35:54" ht="18" customHeight="1" thickBot="1" x14ac:dyDescent="0.35">
      <c r="AW134" s="194"/>
      <c r="AX134" s="194">
        <f>$AX$71</f>
        <v>0</v>
      </c>
      <c r="AY134" s="194">
        <f>AI$73</f>
        <v>2569</v>
      </c>
      <c r="AZ134" s="512" t="str">
        <f>AJ$73</f>
        <v>Tagegeld</v>
      </c>
      <c r="BA134" s="512"/>
      <c r="BB134" s="195">
        <f>$AX$52</f>
        <v>0</v>
      </c>
    </row>
    <row r="135" spans="35:54" ht="18" customHeight="1" x14ac:dyDescent="0.3">
      <c r="AW135" s="97"/>
      <c r="AX135" s="97">
        <f>AY$71</f>
        <v>0</v>
      </c>
      <c r="AY135" s="97">
        <f>AI$61</f>
        <v>2566</v>
      </c>
      <c r="AZ135" s="510" t="str">
        <f>AJ$61</f>
        <v>Mietwagen/ Bus</v>
      </c>
      <c r="BA135" s="510"/>
      <c r="BB135" s="185">
        <f>$AY$52</f>
        <v>0</v>
      </c>
    </row>
    <row r="136" spans="35:54" ht="18" customHeight="1" x14ac:dyDescent="0.3">
      <c r="AW136" s="16"/>
      <c r="AX136" s="16">
        <f>AZ$71</f>
        <v>0</v>
      </c>
      <c r="AY136" s="16">
        <f>AI$62</f>
        <v>2567</v>
      </c>
      <c r="AZ136" s="278" t="str">
        <f>AJ$62</f>
        <v>Hotel-Kosten</v>
      </c>
      <c r="BA136" s="278"/>
      <c r="BB136" s="28">
        <f>$AZ$52</f>
        <v>0</v>
      </c>
    </row>
    <row r="137" spans="35:54" ht="18" customHeight="1" x14ac:dyDescent="0.3">
      <c r="AW137" s="16"/>
      <c r="AX137" s="16">
        <f>BA$71</f>
        <v>0</v>
      </c>
      <c r="AY137" s="16">
        <f>AI$63</f>
        <v>2568</v>
      </c>
      <c r="AZ137" s="278" t="str">
        <f>AJ$63</f>
        <v>Sportschule</v>
      </c>
      <c r="BA137" s="278"/>
      <c r="BB137" s="28">
        <f>$BA$52</f>
        <v>0</v>
      </c>
    </row>
    <row r="138" spans="35:54" ht="18" customHeight="1" x14ac:dyDescent="0.3">
      <c r="AW138" s="16"/>
      <c r="AX138" s="16">
        <f>BB$71</f>
        <v>0</v>
      </c>
      <c r="AY138" s="16">
        <f>AI$64</f>
        <v>2570</v>
      </c>
      <c r="AZ138" s="278" t="str">
        <f>AJ$64</f>
        <v>Bewirtung</v>
      </c>
      <c r="BA138" s="278"/>
      <c r="BB138" s="28">
        <f>$BB$52</f>
        <v>0</v>
      </c>
    </row>
    <row r="139" spans="35:54" ht="18" customHeight="1" x14ac:dyDescent="0.3">
      <c r="AW139" s="16"/>
      <c r="AX139" s="16">
        <f>BC$71</f>
        <v>0</v>
      </c>
      <c r="AY139" s="16">
        <f>AI$65</f>
        <v>2661</v>
      </c>
      <c r="AZ139" s="278" t="str">
        <f>AJ$65</f>
        <v>Raummiete</v>
      </c>
      <c r="BA139" s="278"/>
      <c r="BB139" s="28">
        <f>$BC$52</f>
        <v>0</v>
      </c>
    </row>
    <row r="140" spans="35:54" ht="18" customHeight="1" x14ac:dyDescent="0.3">
      <c r="AW140" s="192"/>
      <c r="AX140" s="16">
        <f>BD$71</f>
        <v>0</v>
      </c>
      <c r="AY140" s="16">
        <f>AI$66</f>
        <v>2704</v>
      </c>
      <c r="AZ140" s="278" t="str">
        <f>AJ$66</f>
        <v>Sonst. Reisekosten</v>
      </c>
      <c r="BA140" s="278"/>
      <c r="BB140" s="28">
        <f>$BD$52</f>
        <v>0</v>
      </c>
    </row>
    <row r="141" spans="35:54" ht="18" customHeight="1" x14ac:dyDescent="0.3">
      <c r="AW141" s="192"/>
      <c r="AX141" s="16">
        <f>BE$71</f>
        <v>0</v>
      </c>
      <c r="AY141" s="16">
        <f>AI$67</f>
        <v>2802</v>
      </c>
      <c r="AZ141" s="101" t="str">
        <f>AJ$67</f>
        <v>Geschenke</v>
      </c>
      <c r="BA141" s="101"/>
      <c r="BB141" s="28">
        <f>$BE$52</f>
        <v>0</v>
      </c>
    </row>
    <row r="142" spans="35:54" ht="18" customHeight="1" thickBot="1" x14ac:dyDescent="0.35">
      <c r="AW142" s="193"/>
      <c r="AX142" s="103">
        <f>BF$71</f>
        <v>0</v>
      </c>
      <c r="AY142" s="103">
        <f>AI$68</f>
        <v>2810</v>
      </c>
      <c r="AZ142" s="511" t="str">
        <f>AJ$68</f>
        <v>Repräsentation</v>
      </c>
      <c r="BA142" s="511"/>
      <c r="BB142" s="186">
        <f>$BF$52</f>
        <v>0</v>
      </c>
    </row>
    <row r="143" spans="35:54" ht="18" customHeight="1" x14ac:dyDescent="0.3"/>
    <row r="144" spans="35:5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</sheetData>
  <sheetProtection algorithmName="SHA-512" hashValue="TgkG+slwsQu0Yo7b2q2jMKc/33JJ2Pg5UfSxj9hlJuTsw7yjQpxPrMlkQUMhrJfEltoMOymnQOse/mIDiC1BOA==" saltValue="u2oUpLTRcVQJ0Nfs6Yc20g==" spinCount="100000" sheet="1" selectLockedCells="1"/>
  <mergeCells count="629">
    <mergeCell ref="AR87:AT87"/>
    <mergeCell ref="AI88:AK88"/>
    <mergeCell ref="AR88:AT88"/>
    <mergeCell ref="AI89:AK89"/>
    <mergeCell ref="AR89:AT89"/>
    <mergeCell ref="AR77:AT77"/>
    <mergeCell ref="AR79:AT79"/>
    <mergeCell ref="AR78:AT78"/>
    <mergeCell ref="AR80:AT80"/>
    <mergeCell ref="AR81:AT81"/>
    <mergeCell ref="AI86:AK86"/>
    <mergeCell ref="AI83:AK83"/>
    <mergeCell ref="AI85:AK85"/>
    <mergeCell ref="AI84:AK84"/>
    <mergeCell ref="AI82:AK82"/>
    <mergeCell ref="AM94:AQ94"/>
    <mergeCell ref="AM95:AQ95"/>
    <mergeCell ref="AM96:AQ96"/>
    <mergeCell ref="AM97:AQ97"/>
    <mergeCell ref="AM98:AQ98"/>
    <mergeCell ref="AM99:AQ99"/>
    <mergeCell ref="AM100:AQ100"/>
    <mergeCell ref="AO11:AP11"/>
    <mergeCell ref="AM92:AQ92"/>
    <mergeCell ref="AM93:AQ93"/>
    <mergeCell ref="AP45:AP46"/>
    <mergeCell ref="AL66:AO66"/>
    <mergeCell ref="AL67:AO67"/>
    <mergeCell ref="AL61:AO61"/>
    <mergeCell ref="AL62:AO62"/>
    <mergeCell ref="AL64:AO64"/>
    <mergeCell ref="AL65:AO65"/>
    <mergeCell ref="AL10:AL18"/>
    <mergeCell ref="AI60:AO60"/>
    <mergeCell ref="AH49:AK49"/>
    <mergeCell ref="AJ10:AJ18"/>
    <mergeCell ref="AK10:AK18"/>
    <mergeCell ref="AH44:AK44"/>
    <mergeCell ref="AJ68:AK68"/>
    <mergeCell ref="AL2:AM2"/>
    <mergeCell ref="AM77:AQ77"/>
    <mergeCell ref="AM78:AQ78"/>
    <mergeCell ref="AM79:AQ79"/>
    <mergeCell ref="AM80:AQ80"/>
    <mergeCell ref="AM81:AQ81"/>
    <mergeCell ref="AM91:AQ91"/>
    <mergeCell ref="AM82:AQ82"/>
    <mergeCell ref="AM83:AQ83"/>
    <mergeCell ref="AM84:AQ84"/>
    <mergeCell ref="AM85:AQ85"/>
    <mergeCell ref="AM86:AQ86"/>
    <mergeCell ref="AM87:AQ87"/>
    <mergeCell ref="AM88:AQ88"/>
    <mergeCell ref="AM89:AQ89"/>
    <mergeCell ref="AM90:AQ90"/>
    <mergeCell ref="AO8:AT8"/>
    <mergeCell ref="AO16:AP16"/>
    <mergeCell ref="AO14:AP14"/>
    <mergeCell ref="AO15:AP15"/>
    <mergeCell ref="AO12:AP12"/>
    <mergeCell ref="AO13:AP13"/>
    <mergeCell ref="AO10:AU10"/>
    <mergeCell ref="AR86:AT86"/>
    <mergeCell ref="AO9:AP9"/>
    <mergeCell ref="AO2:AP2"/>
    <mergeCell ref="AO4:AP4"/>
    <mergeCell ref="AO7:AP7"/>
    <mergeCell ref="AO6:AP6"/>
    <mergeCell ref="AO5:AP5"/>
    <mergeCell ref="AO3:AP3"/>
    <mergeCell ref="AR107:AT107"/>
    <mergeCell ref="AI108:AK108"/>
    <mergeCell ref="AR108:AT108"/>
    <mergeCell ref="AR99:AT99"/>
    <mergeCell ref="AI100:AK100"/>
    <mergeCell ref="AR100:AT100"/>
    <mergeCell ref="AI101:AK101"/>
    <mergeCell ref="AR101:AT101"/>
    <mergeCell ref="AI102:AK102"/>
    <mergeCell ref="AR102:AT102"/>
    <mergeCell ref="AR90:AT90"/>
    <mergeCell ref="AI91:AK91"/>
    <mergeCell ref="AR91:AT91"/>
    <mergeCell ref="AI92:AK92"/>
    <mergeCell ref="AR92:AT92"/>
    <mergeCell ref="AI93:AK93"/>
    <mergeCell ref="AR93:AT93"/>
    <mergeCell ref="BH53:BI53"/>
    <mergeCell ref="AZ77:BA77"/>
    <mergeCell ref="AZ78:BA78"/>
    <mergeCell ref="AZ79:BA79"/>
    <mergeCell ref="AZ105:BA105"/>
    <mergeCell ref="AZ107:BA107"/>
    <mergeCell ref="AZ109:BA109"/>
    <mergeCell ref="AZ116:BA116"/>
    <mergeCell ref="AZ118:BA118"/>
    <mergeCell ref="AZ111:BA111"/>
    <mergeCell ref="AZ112:BA112"/>
    <mergeCell ref="AZ89:BA89"/>
    <mergeCell ref="AZ95:BA95"/>
    <mergeCell ref="AZ99:BA99"/>
    <mergeCell ref="AZ100:BA100"/>
    <mergeCell ref="AZ113:BA113"/>
    <mergeCell ref="AZ114:BA114"/>
    <mergeCell ref="AZ115:BA115"/>
    <mergeCell ref="AZ117:BA117"/>
    <mergeCell ref="AZ110:BA110"/>
    <mergeCell ref="AZ98:BA98"/>
    <mergeCell ref="AZ94:BA94"/>
    <mergeCell ref="AZ96:BA96"/>
    <mergeCell ref="AZ76:BA76"/>
    <mergeCell ref="AZ140:BA140"/>
    <mergeCell ref="AZ142:BA142"/>
    <mergeCell ref="AZ137:BA137"/>
    <mergeCell ref="AZ139:BA139"/>
    <mergeCell ref="AZ120:BA120"/>
    <mergeCell ref="AZ129:BA129"/>
    <mergeCell ref="AZ131:BA131"/>
    <mergeCell ref="AZ127:BA127"/>
    <mergeCell ref="AZ138:BA138"/>
    <mergeCell ref="AZ124:BA124"/>
    <mergeCell ref="AZ125:BA125"/>
    <mergeCell ref="AZ126:BA126"/>
    <mergeCell ref="AZ128:BA128"/>
    <mergeCell ref="AZ132:BA132"/>
    <mergeCell ref="AZ133:BA133"/>
    <mergeCell ref="AZ134:BA134"/>
    <mergeCell ref="AZ135:BA135"/>
    <mergeCell ref="AZ136:BA136"/>
    <mergeCell ref="AZ121:BA121"/>
    <mergeCell ref="AZ122:BA122"/>
    <mergeCell ref="AZ123:BA123"/>
    <mergeCell ref="AZ80:BA80"/>
    <mergeCell ref="AZ81:BA81"/>
    <mergeCell ref="AZ82:BA82"/>
    <mergeCell ref="AZ83:BA83"/>
    <mergeCell ref="AO110:AQ110"/>
    <mergeCell ref="AO111:AQ111"/>
    <mergeCell ref="AZ93:BA93"/>
    <mergeCell ref="AR84:AT84"/>
    <mergeCell ref="AR85:AT85"/>
    <mergeCell ref="AZ84:BA84"/>
    <mergeCell ref="AZ85:BA85"/>
    <mergeCell ref="AZ87:BA87"/>
    <mergeCell ref="AZ88:BA88"/>
    <mergeCell ref="AZ90:BA90"/>
    <mergeCell ref="AZ91:BA91"/>
    <mergeCell ref="AZ92:BA92"/>
    <mergeCell ref="AZ101:BA101"/>
    <mergeCell ref="AZ102:BA102"/>
    <mergeCell ref="AZ103:BA103"/>
    <mergeCell ref="AZ104:BA104"/>
    <mergeCell ref="AZ106:BA106"/>
    <mergeCell ref="AR109:AT109"/>
    <mergeCell ref="AM107:AQ107"/>
    <mergeCell ref="AR95:AT95"/>
    <mergeCell ref="AO129:AQ129"/>
    <mergeCell ref="AI123:AK123"/>
    <mergeCell ref="AI124:AK124"/>
    <mergeCell ref="AL73:AQ73"/>
    <mergeCell ref="AR110:AT110"/>
    <mergeCell ref="AR111:AT111"/>
    <mergeCell ref="AR112:AT112"/>
    <mergeCell ref="AR113:AT113"/>
    <mergeCell ref="AR119:AT119"/>
    <mergeCell ref="AR120:AT120"/>
    <mergeCell ref="AR121:AT121"/>
    <mergeCell ref="AR122:AT122"/>
    <mergeCell ref="AO112:AQ112"/>
    <mergeCell ref="AR123:AT123"/>
    <mergeCell ref="AO113:AQ113"/>
    <mergeCell ref="AO119:AQ119"/>
    <mergeCell ref="AO120:AQ120"/>
    <mergeCell ref="AO121:AQ121"/>
    <mergeCell ref="AO122:AQ122"/>
    <mergeCell ref="AO123:AQ123"/>
    <mergeCell ref="AI113:AK113"/>
    <mergeCell ref="AI112:AK112"/>
    <mergeCell ref="AR82:AT82"/>
    <mergeCell ref="AR83:AT83"/>
    <mergeCell ref="AR96:AT96"/>
    <mergeCell ref="AI97:AK97"/>
    <mergeCell ref="AR97:AT97"/>
    <mergeCell ref="AI98:AK98"/>
    <mergeCell ref="AR98:AT98"/>
    <mergeCell ref="AO127:AQ127"/>
    <mergeCell ref="AO128:AQ128"/>
    <mergeCell ref="AM108:AQ108"/>
    <mergeCell ref="AM109:AQ109"/>
    <mergeCell ref="AR103:AT103"/>
    <mergeCell ref="AI104:AK104"/>
    <mergeCell ref="AR104:AT104"/>
    <mergeCell ref="AI105:AK105"/>
    <mergeCell ref="AR105:AT105"/>
    <mergeCell ref="AI106:AK106"/>
    <mergeCell ref="AR106:AT106"/>
    <mergeCell ref="AM103:AQ103"/>
    <mergeCell ref="AM104:AQ104"/>
    <mergeCell ref="AM105:AQ105"/>
    <mergeCell ref="AM106:AQ106"/>
    <mergeCell ref="AM101:AQ101"/>
    <mergeCell ref="AM102:AQ102"/>
    <mergeCell ref="AJ62:AK62"/>
    <mergeCell ref="H64:I64"/>
    <mergeCell ref="AO130:AQ130"/>
    <mergeCell ref="AO131:AQ131"/>
    <mergeCell ref="AR124:AT124"/>
    <mergeCell ref="AR125:AT125"/>
    <mergeCell ref="AR126:AT126"/>
    <mergeCell ref="AR127:AT127"/>
    <mergeCell ref="AR128:AT128"/>
    <mergeCell ref="AR129:AT129"/>
    <mergeCell ref="AR130:AT130"/>
    <mergeCell ref="AO124:AQ124"/>
    <mergeCell ref="AO125:AQ125"/>
    <mergeCell ref="AI131:AK131"/>
    <mergeCell ref="AI127:AK127"/>
    <mergeCell ref="AI128:AK128"/>
    <mergeCell ref="AI129:AK129"/>
    <mergeCell ref="AI130:AK130"/>
    <mergeCell ref="AI111:AK111"/>
    <mergeCell ref="AR131:AT131"/>
    <mergeCell ref="AO126:AQ126"/>
    <mergeCell ref="AI94:AK94"/>
    <mergeCell ref="O74:P74"/>
    <mergeCell ref="AR94:AT94"/>
    <mergeCell ref="AI90:AK90"/>
    <mergeCell ref="AI99:AK99"/>
    <mergeCell ref="O72:P73"/>
    <mergeCell ref="AI126:AK126"/>
    <mergeCell ref="AI120:AK120"/>
    <mergeCell ref="AI121:AK121"/>
    <mergeCell ref="AI122:AK122"/>
    <mergeCell ref="AI119:AK119"/>
    <mergeCell ref="AI125:AK125"/>
    <mergeCell ref="AI103:AK103"/>
    <mergeCell ref="AI107:AK107"/>
    <mergeCell ref="AI109:AK109"/>
    <mergeCell ref="AJ73:AK73"/>
    <mergeCell ref="V82:W82"/>
    <mergeCell ref="AI95:AK95"/>
    <mergeCell ref="AI87:AK87"/>
    <mergeCell ref="R72:V73"/>
    <mergeCell ref="AI110:AK110"/>
    <mergeCell ref="AI77:AK77"/>
    <mergeCell ref="AI78:AK78"/>
    <mergeCell ref="AI79:AK79"/>
    <mergeCell ref="AI80:AK80"/>
    <mergeCell ref="AI81:AK81"/>
    <mergeCell ref="AI96:AK96"/>
    <mergeCell ref="K55:M55"/>
    <mergeCell ref="K56:M56"/>
    <mergeCell ref="V56:W56"/>
    <mergeCell ref="V57:W57"/>
    <mergeCell ref="K58:M58"/>
    <mergeCell ref="S57:T57"/>
    <mergeCell ref="K57:M57"/>
    <mergeCell ref="V55:W55"/>
    <mergeCell ref="I58:J58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O12:W12"/>
    <mergeCell ref="I17:K17"/>
    <mergeCell ref="T25:U25"/>
    <mergeCell ref="T22:U22"/>
    <mergeCell ref="T23:U23"/>
    <mergeCell ref="T24:U24"/>
    <mergeCell ref="Q20:S20"/>
    <mergeCell ref="Q21:S21"/>
    <mergeCell ref="Q22:S22"/>
    <mergeCell ref="Q23:S23"/>
    <mergeCell ref="Q24:S24"/>
    <mergeCell ref="I16:L16"/>
    <mergeCell ref="T16:W16"/>
    <mergeCell ref="V22:W22"/>
    <mergeCell ref="V23:W23"/>
    <mergeCell ref="V24:W24"/>
    <mergeCell ref="Q25:S25"/>
    <mergeCell ref="T30:U30"/>
    <mergeCell ref="T31:U31"/>
    <mergeCell ref="J23:K23"/>
    <mergeCell ref="J24:K24"/>
    <mergeCell ref="B15:W15"/>
    <mergeCell ref="D16:E16"/>
    <mergeCell ref="M32:N32"/>
    <mergeCell ref="T28:U28"/>
    <mergeCell ref="T29:U29"/>
    <mergeCell ref="M22:N22"/>
    <mergeCell ref="J19:K19"/>
    <mergeCell ref="J20:K20"/>
    <mergeCell ref="J21:K21"/>
    <mergeCell ref="J22:K22"/>
    <mergeCell ref="F16:H16"/>
    <mergeCell ref="Q26:S26"/>
    <mergeCell ref="Q27:S27"/>
    <mergeCell ref="Q28:S28"/>
    <mergeCell ref="Q29:S29"/>
    <mergeCell ref="Q30:S30"/>
    <mergeCell ref="Q31:S31"/>
    <mergeCell ref="J27:K27"/>
    <mergeCell ref="J28:K28"/>
    <mergeCell ref="J29:K29"/>
    <mergeCell ref="J30:K30"/>
    <mergeCell ref="J31:K31"/>
    <mergeCell ref="M16:O16"/>
    <mergeCell ref="M17:N18"/>
    <mergeCell ref="M25:N25"/>
    <mergeCell ref="M26:N26"/>
    <mergeCell ref="M27:N27"/>
    <mergeCell ref="M28:N28"/>
    <mergeCell ref="M29:N29"/>
    <mergeCell ref="M30:N30"/>
    <mergeCell ref="M31:N31"/>
    <mergeCell ref="T32:U32"/>
    <mergeCell ref="M33:N33"/>
    <mergeCell ref="M34:N34"/>
    <mergeCell ref="M35:N35"/>
    <mergeCell ref="M36:N36"/>
    <mergeCell ref="M37:N37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J25:K25"/>
    <mergeCell ref="B34:C34"/>
    <mergeCell ref="B35:C35"/>
    <mergeCell ref="B36:C36"/>
    <mergeCell ref="B37:C37"/>
    <mergeCell ref="Q32:S32"/>
    <mergeCell ref="T26:U26"/>
    <mergeCell ref="T27:U27"/>
    <mergeCell ref="J26:K26"/>
    <mergeCell ref="B22:C22"/>
    <mergeCell ref="B23:C23"/>
    <mergeCell ref="B24:C24"/>
    <mergeCell ref="J33:K33"/>
    <mergeCell ref="J34:K34"/>
    <mergeCell ref="J35:K35"/>
    <mergeCell ref="J36:K36"/>
    <mergeCell ref="J32:K32"/>
    <mergeCell ref="AR45:AR46"/>
    <mergeCell ref="V37:W37"/>
    <mergeCell ref="V38:W38"/>
    <mergeCell ref="V39:W39"/>
    <mergeCell ref="Q42:S42"/>
    <mergeCell ref="T37:U37"/>
    <mergeCell ref="T38:U38"/>
    <mergeCell ref="T39:U39"/>
    <mergeCell ref="T40:U40"/>
    <mergeCell ref="J39:K39"/>
    <mergeCell ref="J40:K40"/>
    <mergeCell ref="J41:K41"/>
    <mergeCell ref="J42:K42"/>
    <mergeCell ref="M42:N42"/>
    <mergeCell ref="M39:N39"/>
    <mergeCell ref="M40:N40"/>
    <mergeCell ref="B55:B56"/>
    <mergeCell ref="C55:F56"/>
    <mergeCell ref="G55:H56"/>
    <mergeCell ref="I54:J54"/>
    <mergeCell ref="I55:J55"/>
    <mergeCell ref="I56:J56"/>
    <mergeCell ref="I57:J57"/>
    <mergeCell ref="R69:V69"/>
    <mergeCell ref="B70:E70"/>
    <mergeCell ref="F70:G70"/>
    <mergeCell ref="B67:G67"/>
    <mergeCell ref="B68:G68"/>
    <mergeCell ref="B62:C62"/>
    <mergeCell ref="S54:T54"/>
    <mergeCell ref="S58:T58"/>
    <mergeCell ref="N65:P65"/>
    <mergeCell ref="V54:W54"/>
    <mergeCell ref="V58:W58"/>
    <mergeCell ref="P57:Q57"/>
    <mergeCell ref="P55:Q55"/>
    <mergeCell ref="P56:Q56"/>
    <mergeCell ref="P58:Q58"/>
    <mergeCell ref="S55:T55"/>
    <mergeCell ref="S56:T56"/>
    <mergeCell ref="B57:B58"/>
    <mergeCell ref="B38:C38"/>
    <mergeCell ref="M38:N38"/>
    <mergeCell ref="K53:M53"/>
    <mergeCell ref="K52:M52"/>
    <mergeCell ref="B39:C39"/>
    <mergeCell ref="B40:C40"/>
    <mergeCell ref="B41:C41"/>
    <mergeCell ref="G45:H45"/>
    <mergeCell ref="G46:H46"/>
    <mergeCell ref="I46:J46"/>
    <mergeCell ref="I47:J47"/>
    <mergeCell ref="K47:M47"/>
    <mergeCell ref="G49:H50"/>
    <mergeCell ref="C57:F58"/>
    <mergeCell ref="G57:H58"/>
    <mergeCell ref="I45:M45"/>
    <mergeCell ref="B45:F45"/>
    <mergeCell ref="C46:F46"/>
    <mergeCell ref="B51:B52"/>
    <mergeCell ref="C51:F52"/>
    <mergeCell ref="G51:H52"/>
    <mergeCell ref="B53:B54"/>
    <mergeCell ref="C53:F54"/>
    <mergeCell ref="J37:K37"/>
    <mergeCell ref="J38:K38"/>
    <mergeCell ref="S53:T53"/>
    <mergeCell ref="O45:Q45"/>
    <mergeCell ref="K48:M48"/>
    <mergeCell ref="K49:M49"/>
    <mergeCell ref="K50:M50"/>
    <mergeCell ref="V17:W18"/>
    <mergeCell ref="Q17:S17"/>
    <mergeCell ref="Q18:S18"/>
    <mergeCell ref="T17:U18"/>
    <mergeCell ref="V42:W42"/>
    <mergeCell ref="M23:N23"/>
    <mergeCell ref="M24:N24"/>
    <mergeCell ref="T33:U33"/>
    <mergeCell ref="T34:U34"/>
    <mergeCell ref="T35:U35"/>
    <mergeCell ref="T36:U36"/>
    <mergeCell ref="V25:W25"/>
    <mergeCell ref="V26:W26"/>
    <mergeCell ref="V40:W40"/>
    <mergeCell ref="V41:W41"/>
    <mergeCell ref="V27:W27"/>
    <mergeCell ref="K51:M51"/>
    <mergeCell ref="B18:C18"/>
    <mergeCell ref="K12:M12"/>
    <mergeCell ref="B16:C16"/>
    <mergeCell ref="B10:E10"/>
    <mergeCell ref="J18:K18"/>
    <mergeCell ref="AH10:AH18"/>
    <mergeCell ref="AI10:AI18"/>
    <mergeCell ref="B2:Q2"/>
    <mergeCell ref="B3:Q3"/>
    <mergeCell ref="B4:E4"/>
    <mergeCell ref="F4:H4"/>
    <mergeCell ref="I4:K4"/>
    <mergeCell ref="L4:U4"/>
    <mergeCell ref="B13:W13"/>
    <mergeCell ref="B14:D14"/>
    <mergeCell ref="E14:W14"/>
    <mergeCell ref="S2:V2"/>
    <mergeCell ref="S3:V3"/>
    <mergeCell ref="R6:V6"/>
    <mergeCell ref="R8:V8"/>
    <mergeCell ref="R10:V10"/>
    <mergeCell ref="O6:Q6"/>
    <mergeCell ref="O8:Q8"/>
    <mergeCell ref="O10:Q10"/>
    <mergeCell ref="B5:E5"/>
    <mergeCell ref="F5:N5"/>
    <mergeCell ref="O5:Q5"/>
    <mergeCell ref="Z5:AE5"/>
    <mergeCell ref="B7:N7"/>
    <mergeCell ref="B8:E8"/>
    <mergeCell ref="B6:E6"/>
    <mergeCell ref="B17:C17"/>
    <mergeCell ref="R5:V5"/>
    <mergeCell ref="Q16:S16"/>
    <mergeCell ref="R11:V11"/>
    <mergeCell ref="O11:Q11"/>
    <mergeCell ref="I12:J12"/>
    <mergeCell ref="R7:V7"/>
    <mergeCell ref="R9:V9"/>
    <mergeCell ref="O7:Q7"/>
    <mergeCell ref="O9:Q9"/>
    <mergeCell ref="F6:M6"/>
    <mergeCell ref="F8:M8"/>
    <mergeCell ref="F10:M10"/>
    <mergeCell ref="B9:N9"/>
    <mergeCell ref="B11:N11"/>
    <mergeCell ref="B12:E12"/>
    <mergeCell ref="F12:H12"/>
    <mergeCell ref="B20:C20"/>
    <mergeCell ref="B21:C21"/>
    <mergeCell ref="V19:W19"/>
    <mergeCell ref="V20:W20"/>
    <mergeCell ref="V21:W21"/>
    <mergeCell ref="T19:U19"/>
    <mergeCell ref="Q19:S19"/>
    <mergeCell ref="T20:U20"/>
    <mergeCell ref="T21:U21"/>
    <mergeCell ref="M19:N19"/>
    <mergeCell ref="M20:N20"/>
    <mergeCell ref="M21:N21"/>
    <mergeCell ref="B19:C19"/>
    <mergeCell ref="AI42:AK42"/>
    <mergeCell ref="T41:U41"/>
    <mergeCell ref="T42:U42"/>
    <mergeCell ref="AI50:AJ50"/>
    <mergeCell ref="AI51:AJ51"/>
    <mergeCell ref="AA42:AE43"/>
    <mergeCell ref="I50:J50"/>
    <mergeCell ref="S45:U45"/>
    <mergeCell ref="I51:J51"/>
    <mergeCell ref="P51:Q51"/>
    <mergeCell ref="S46:T46"/>
    <mergeCell ref="V46:W46"/>
    <mergeCell ref="V45:W45"/>
    <mergeCell ref="V49:W49"/>
    <mergeCell ref="V50:W50"/>
    <mergeCell ref="V47:W47"/>
    <mergeCell ref="V48:W48"/>
    <mergeCell ref="S51:T51"/>
    <mergeCell ref="P47:Q47"/>
    <mergeCell ref="P48:Q48"/>
    <mergeCell ref="V51:W51"/>
    <mergeCell ref="S47:T47"/>
    <mergeCell ref="S48:T48"/>
    <mergeCell ref="S49:T49"/>
    <mergeCell ref="I52:J52"/>
    <mergeCell ref="M41:N41"/>
    <mergeCell ref="K54:M54"/>
    <mergeCell ref="C47:F48"/>
    <mergeCell ref="B47:B48"/>
    <mergeCell ref="G47:H48"/>
    <mergeCell ref="B49:B50"/>
    <mergeCell ref="C49:F50"/>
    <mergeCell ref="P49:Q49"/>
    <mergeCell ref="P50:Q50"/>
    <mergeCell ref="B44:W44"/>
    <mergeCell ref="I48:J48"/>
    <mergeCell ref="I49:J49"/>
    <mergeCell ref="B42:F42"/>
    <mergeCell ref="P52:Q52"/>
    <mergeCell ref="P53:Q53"/>
    <mergeCell ref="P54:Q54"/>
    <mergeCell ref="G53:H54"/>
    <mergeCell ref="I53:J53"/>
    <mergeCell ref="V53:W53"/>
    <mergeCell ref="V52:W52"/>
    <mergeCell ref="S52:T52"/>
    <mergeCell ref="S50:T50"/>
    <mergeCell ref="V34:W34"/>
    <mergeCell ref="V35:W35"/>
    <mergeCell ref="V36:W36"/>
    <mergeCell ref="V31:W31"/>
    <mergeCell ref="V32:W32"/>
    <mergeCell ref="V33:W33"/>
    <mergeCell ref="V28:W28"/>
    <mergeCell ref="V29:W29"/>
    <mergeCell ref="V30:W30"/>
    <mergeCell ref="AL68:AO68"/>
    <mergeCell ref="AJ64:AK64"/>
    <mergeCell ref="AI70:AQ70"/>
    <mergeCell ref="AJ71:AK71"/>
    <mergeCell ref="AJ72:AK72"/>
    <mergeCell ref="AJ63:AK63"/>
    <mergeCell ref="BF10:BF17"/>
    <mergeCell ref="AV10:AV17"/>
    <mergeCell ref="AW10:AW17"/>
    <mergeCell ref="AX10:AX17"/>
    <mergeCell ref="BD10:BD17"/>
    <mergeCell ref="AY10:AY17"/>
    <mergeCell ref="AZ10:AZ17"/>
    <mergeCell ref="BA10:BA17"/>
    <mergeCell ref="BB10:BB17"/>
    <mergeCell ref="BC10:BC17"/>
    <mergeCell ref="AI52:AJ52"/>
    <mergeCell ref="AI53:AJ53"/>
    <mergeCell ref="AI54:AJ54"/>
    <mergeCell ref="AI55:AJ55"/>
    <mergeCell ref="AJ66:AK66"/>
    <mergeCell ref="BE10:BE17"/>
    <mergeCell ref="AJ67:AK67"/>
    <mergeCell ref="AJ61:AK61"/>
    <mergeCell ref="C82:F82"/>
    <mergeCell ref="G82:H82"/>
    <mergeCell ref="B83:H83"/>
    <mergeCell ref="B59:W59"/>
    <mergeCell ref="N60:V61"/>
    <mergeCell ref="B61:E61"/>
    <mergeCell ref="O62:P63"/>
    <mergeCell ref="R62:V63"/>
    <mergeCell ref="B66:M66"/>
    <mergeCell ref="P82:Q82"/>
    <mergeCell ref="O83:R83"/>
    <mergeCell ref="I83:N83"/>
    <mergeCell ref="I82:J82"/>
    <mergeCell ref="K82:M82"/>
    <mergeCell ref="S83:W83"/>
    <mergeCell ref="B72:H72"/>
    <mergeCell ref="B63:C63"/>
    <mergeCell ref="O67:P68"/>
    <mergeCell ref="R67:V68"/>
    <mergeCell ref="N70:P70"/>
    <mergeCell ref="O64:P64"/>
    <mergeCell ref="R64:V64"/>
    <mergeCell ref="R74:V74"/>
    <mergeCell ref="O69:P69"/>
    <mergeCell ref="AI132:AK132"/>
    <mergeCell ref="AO132:AQ132"/>
    <mergeCell ref="AR132:AT132"/>
    <mergeCell ref="H62:I62"/>
    <mergeCell ref="H63:I63"/>
    <mergeCell ref="AI117:AK117"/>
    <mergeCell ref="AO117:AQ117"/>
    <mergeCell ref="AR117:AT117"/>
    <mergeCell ref="AI118:AK118"/>
    <mergeCell ref="AO118:AQ118"/>
    <mergeCell ref="AR118:AT118"/>
    <mergeCell ref="AI114:AK114"/>
    <mergeCell ref="AO114:AQ114"/>
    <mergeCell ref="AR114:AT114"/>
    <mergeCell ref="AI115:AK115"/>
    <mergeCell ref="AO115:AQ115"/>
    <mergeCell ref="AR115:AT115"/>
    <mergeCell ref="AI116:AK116"/>
    <mergeCell ref="AO116:AQ116"/>
    <mergeCell ref="AR116:AT116"/>
    <mergeCell ref="AL71:AQ71"/>
    <mergeCell ref="AL72:AQ72"/>
    <mergeCell ref="AJ65:AK65"/>
    <mergeCell ref="AL63:AO63"/>
  </mergeCells>
  <conditionalFormatting sqref="B19:C41">
    <cfRule type="expression" dxfId="14" priority="9">
      <formula>(Z19=4)</formula>
    </cfRule>
  </conditionalFormatting>
  <conditionalFormatting sqref="B14:D14">
    <cfRule type="expression" dxfId="13" priority="17">
      <formula>($Z$42&lt;2)</formula>
    </cfRule>
  </conditionalFormatting>
  <conditionalFormatting sqref="D19:D41">
    <cfRule type="expression" dxfId="12" priority="8">
      <formula>(AA19=5)</formula>
    </cfRule>
  </conditionalFormatting>
  <conditionalFormatting sqref="E19:E41">
    <cfRule type="expression" dxfId="11" priority="7">
      <formula>(AB19=6)</formula>
    </cfRule>
  </conditionalFormatting>
  <conditionalFormatting sqref="E14:W14">
    <cfRule type="containsText" dxfId="10" priority="16" operator="containsText" text="Als Erstes">
      <formula>NOT(ISERROR(SEARCH("Als Erstes",E14)))</formula>
    </cfRule>
  </conditionalFormatting>
  <conditionalFormatting sqref="F6:M6">
    <cfRule type="expression" dxfId="9" priority="15">
      <formula>(F6="")</formula>
    </cfRule>
  </conditionalFormatting>
  <conditionalFormatting sqref="F8:M8">
    <cfRule type="expression" dxfId="8" priority="14">
      <formula>AND(F8="",Z42=2)</formula>
    </cfRule>
  </conditionalFormatting>
  <conditionalFormatting sqref="F10:M10">
    <cfRule type="expression" dxfId="7" priority="13">
      <formula>AND(F10="",Z42=2)</formula>
    </cfRule>
  </conditionalFormatting>
  <conditionalFormatting sqref="M19:N41">
    <cfRule type="expression" dxfId="6" priority="5">
      <formula>(AND(M19="",AC19=7))</formula>
    </cfRule>
  </conditionalFormatting>
  <conditionalFormatting sqref="O19:O41">
    <cfRule type="expression" dxfId="5" priority="4">
      <formula>(AND(O19="",AC19=7))</formula>
    </cfRule>
  </conditionalFormatting>
  <conditionalFormatting sqref="Q19:S41">
    <cfRule type="expression" dxfId="4" priority="3">
      <formula>(AD19=8)</formula>
    </cfRule>
  </conditionalFormatting>
  <conditionalFormatting sqref="R6:V6">
    <cfRule type="expression" dxfId="3" priority="12">
      <formula>AND(R6="",Z42=3)</formula>
    </cfRule>
  </conditionalFormatting>
  <conditionalFormatting sqref="R8:V8">
    <cfRule type="expression" dxfId="2" priority="11">
      <formula>AND(R8="",Z42=3)</formula>
    </cfRule>
  </conditionalFormatting>
  <conditionalFormatting sqref="R10:V10">
    <cfRule type="expression" dxfId="1" priority="1">
      <formula>AND(R10="",Z44=3)</formula>
    </cfRule>
  </conditionalFormatting>
  <conditionalFormatting sqref="T19:U41">
    <cfRule type="expression" dxfId="0" priority="2">
      <formula>(AE19=9)</formula>
    </cfRule>
  </conditionalFormatting>
  <dataValidations count="4">
    <dataValidation type="list" allowBlank="1" showInputMessage="1" showErrorMessage="1" prompt="Frühstück     4,80_x000a_Mittagessen 9,60_x000a_Abendessen 9,60" sqref="G19:G41" xr:uid="{00000000-0002-0000-0000-000000000000}">
      <formula1>$AK$50:$AK$55</formula1>
    </dataValidation>
    <dataValidation type="list" allowBlank="1" showInputMessage="1" showErrorMessage="1" sqref="M19:N41" xr:uid="{00000000-0002-0000-0000-000001000000}">
      <formula1>$AJ$61:$AJ$68</formula1>
    </dataValidation>
    <dataValidation type="list" allowBlank="1" showInputMessage="1" showErrorMessage="1" prompt="Wenn kein Tagegeld &gt;&gt; No_x000a_Sonst Ja oder leer lassen" sqref="F19:F41" xr:uid="{00000000-0002-0000-0000-000002000000}">
      <formula1>$AK$45:$AK$46</formula1>
    </dataValidation>
    <dataValidation type="list" allowBlank="1" showInputMessage="1" showErrorMessage="1" prompt="Aus Pull-Down-Menü auswählen &gt;&gt; scrollen" sqref="T19:U41" xr:uid="{00000000-0002-0000-0000-000003000000}">
      <formula1>$AI$78:$AI$109</formula1>
    </dataValidation>
  </dataValidations>
  <printOptions horizontalCentered="1" verticalCentered="1"/>
  <pageMargins left="0.70866141732283472" right="0.31496062992125984" top="0.19685039370078741" bottom="0.31496062992125984" header="0" footer="0"/>
  <pageSetup paperSize="9" scale="61" orientation="portrait" r:id="rId1"/>
  <headerFooter>
    <oddFooter xml:space="preserve">&amp;L&amp;10        &amp;F&amp;R&amp;10© W.Renz(TTBW)2014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2:I63"/>
  <sheetViews>
    <sheetView showGridLines="0" zoomScaleNormal="100" workbookViewId="0">
      <selection activeCell="D10" sqref="D10"/>
    </sheetView>
  </sheetViews>
  <sheetFormatPr baseColWidth="10" defaultColWidth="11.44140625" defaultRowHeight="20.100000000000001" customHeight="1" x14ac:dyDescent="0.3"/>
  <cols>
    <col min="1" max="1" width="2.5546875" style="94" customWidth="1"/>
    <col min="2" max="2" width="11.44140625" style="107"/>
    <col min="3" max="3" width="25.21875" style="108" bestFit="1" customWidth="1"/>
    <col min="4" max="4" width="45.77734375" style="94" bestFit="1" customWidth="1"/>
    <col min="5" max="5" width="20.77734375" style="107" customWidth="1"/>
    <col min="6" max="16384" width="11.44140625" style="94"/>
  </cols>
  <sheetData>
    <row r="2" spans="2:5" ht="20.100000000000001" customHeight="1" x14ac:dyDescent="0.3">
      <c r="B2" s="530" t="s">
        <v>78</v>
      </c>
      <c r="C2" s="530"/>
      <c r="D2" s="530"/>
      <c r="E2" s="93"/>
    </row>
    <row r="3" spans="2:5" ht="20.100000000000001" customHeight="1" x14ac:dyDescent="0.3">
      <c r="B3" s="125" t="s">
        <v>48</v>
      </c>
      <c r="C3" s="132" t="s">
        <v>146</v>
      </c>
      <c r="D3" s="133" t="s">
        <v>79</v>
      </c>
      <c r="E3" s="129" t="s">
        <v>80</v>
      </c>
    </row>
    <row r="4" spans="2:5" ht="20.100000000000001" customHeight="1" x14ac:dyDescent="0.3">
      <c r="B4" s="97">
        <v>97000000</v>
      </c>
      <c r="C4" s="98" t="s">
        <v>138</v>
      </c>
      <c r="D4" s="99" t="s">
        <v>81</v>
      </c>
      <c r="E4" s="100" t="s">
        <v>82</v>
      </c>
    </row>
    <row r="5" spans="2:5" ht="20.100000000000001" customHeight="1" thickBot="1" x14ac:dyDescent="0.35">
      <c r="B5" s="103">
        <v>98000000</v>
      </c>
      <c r="C5" s="104" t="s">
        <v>139</v>
      </c>
      <c r="D5" s="105" t="s">
        <v>139</v>
      </c>
      <c r="E5" s="106" t="s">
        <v>82</v>
      </c>
    </row>
    <row r="6" spans="2:5" ht="20.100000000000001" customHeight="1" x14ac:dyDescent="0.3">
      <c r="B6" s="16">
        <v>91000600</v>
      </c>
      <c r="C6" s="101" t="s">
        <v>163</v>
      </c>
      <c r="D6" s="29" t="s">
        <v>155</v>
      </c>
      <c r="E6" s="102" t="s">
        <v>157</v>
      </c>
    </row>
    <row r="7" spans="2:5" ht="20.100000000000001" customHeight="1" x14ac:dyDescent="0.3">
      <c r="B7" s="16">
        <v>93000600</v>
      </c>
      <c r="C7" s="101" t="s">
        <v>158</v>
      </c>
      <c r="D7" s="29" t="s">
        <v>156</v>
      </c>
      <c r="E7" s="102" t="s">
        <v>157</v>
      </c>
    </row>
    <row r="8" spans="2:5" ht="20.100000000000001" customHeight="1" x14ac:dyDescent="0.3">
      <c r="B8" s="16">
        <v>94000600</v>
      </c>
      <c r="C8" s="101" t="s">
        <v>159</v>
      </c>
      <c r="D8" s="29"/>
      <c r="E8" s="102" t="s">
        <v>157</v>
      </c>
    </row>
    <row r="9" spans="2:5" ht="20.100000000000001" customHeight="1" x14ac:dyDescent="0.3">
      <c r="B9" s="16">
        <v>95000600</v>
      </c>
      <c r="C9" s="101" t="s">
        <v>160</v>
      </c>
      <c r="D9" s="29"/>
      <c r="E9" s="102" t="s">
        <v>157</v>
      </c>
    </row>
    <row r="10" spans="2:5" ht="20.100000000000001" customHeight="1" x14ac:dyDescent="0.3">
      <c r="B10" s="16">
        <v>97000600</v>
      </c>
      <c r="C10" s="101" t="s">
        <v>161</v>
      </c>
      <c r="D10" s="29"/>
      <c r="E10" s="102" t="s">
        <v>157</v>
      </c>
    </row>
    <row r="11" spans="2:5" ht="20.100000000000001" customHeight="1" thickBot="1" x14ac:dyDescent="0.35">
      <c r="B11" s="103">
        <v>98000600</v>
      </c>
      <c r="C11" s="104" t="s">
        <v>162</v>
      </c>
      <c r="D11" s="105"/>
      <c r="E11" s="106" t="s">
        <v>157</v>
      </c>
    </row>
    <row r="12" spans="2:5" ht="20.100000000000001" customHeight="1" thickBot="1" x14ac:dyDescent="0.35">
      <c r="B12" s="270">
        <v>90130600</v>
      </c>
      <c r="C12" s="257" t="s">
        <v>188</v>
      </c>
      <c r="D12" s="258"/>
      <c r="E12" s="259" t="s">
        <v>187</v>
      </c>
    </row>
    <row r="13" spans="2:5" ht="20.100000000000001" customHeight="1" x14ac:dyDescent="0.3">
      <c r="B13" s="97">
        <v>97430500</v>
      </c>
      <c r="C13" s="98" t="s">
        <v>84</v>
      </c>
      <c r="D13" s="99" t="s">
        <v>85</v>
      </c>
      <c r="E13" s="100" t="s">
        <v>86</v>
      </c>
    </row>
    <row r="14" spans="2:5" ht="20.100000000000001" customHeight="1" x14ac:dyDescent="0.3">
      <c r="B14" s="16">
        <v>97230500</v>
      </c>
      <c r="C14" s="101" t="s">
        <v>87</v>
      </c>
      <c r="D14" s="29" t="s">
        <v>88</v>
      </c>
      <c r="E14" s="100" t="s">
        <v>86</v>
      </c>
    </row>
    <row r="15" spans="2:5" ht="20.100000000000001" customHeight="1" x14ac:dyDescent="0.3">
      <c r="B15" s="16">
        <v>97130500</v>
      </c>
      <c r="C15" s="101" t="s">
        <v>89</v>
      </c>
      <c r="D15" s="29" t="s">
        <v>90</v>
      </c>
      <c r="E15" s="100" t="s">
        <v>86</v>
      </c>
    </row>
    <row r="16" spans="2:5" ht="20.100000000000001" customHeight="1" thickBot="1" x14ac:dyDescent="0.35">
      <c r="B16" s="103">
        <v>97120500</v>
      </c>
      <c r="C16" s="104" t="s">
        <v>91</v>
      </c>
      <c r="D16" s="105" t="s">
        <v>92</v>
      </c>
      <c r="E16" s="106" t="s">
        <v>86</v>
      </c>
    </row>
    <row r="17" spans="2:9" ht="20.100000000000001" customHeight="1" x14ac:dyDescent="0.3">
      <c r="B17" s="97">
        <v>97050500</v>
      </c>
      <c r="C17" s="98" t="s">
        <v>183</v>
      </c>
      <c r="D17" s="99" t="s">
        <v>186</v>
      </c>
      <c r="E17" s="252" t="s">
        <v>86</v>
      </c>
    </row>
    <row r="18" spans="2:9" ht="20.100000000000001" customHeight="1" x14ac:dyDescent="0.3">
      <c r="B18" s="97">
        <v>97051500</v>
      </c>
      <c r="C18" s="98" t="s">
        <v>173</v>
      </c>
      <c r="D18" s="99" t="s">
        <v>170</v>
      </c>
      <c r="E18" s="100" t="s">
        <v>86</v>
      </c>
    </row>
    <row r="19" spans="2:9" ht="20.100000000000001" customHeight="1" x14ac:dyDescent="0.3">
      <c r="B19" s="97">
        <v>97052500</v>
      </c>
      <c r="C19" s="98" t="s">
        <v>174</v>
      </c>
      <c r="D19" s="99" t="s">
        <v>172</v>
      </c>
      <c r="E19" s="102" t="s">
        <v>86</v>
      </c>
    </row>
    <row r="20" spans="2:9" ht="20.100000000000001" customHeight="1" x14ac:dyDescent="0.3">
      <c r="B20" s="97">
        <v>97053500</v>
      </c>
      <c r="C20" s="98" t="s">
        <v>175</v>
      </c>
      <c r="D20" s="99" t="s">
        <v>171</v>
      </c>
      <c r="E20" s="102" t="s">
        <v>86</v>
      </c>
    </row>
    <row r="21" spans="2:9" ht="20.100000000000001" customHeight="1" x14ac:dyDescent="0.3">
      <c r="B21" s="97">
        <v>97054500</v>
      </c>
      <c r="C21" s="98" t="s">
        <v>219</v>
      </c>
      <c r="D21" s="99" t="s">
        <v>217</v>
      </c>
      <c r="E21" s="102" t="s">
        <v>86</v>
      </c>
    </row>
    <row r="22" spans="2:9" ht="20.100000000000001" customHeight="1" thickBot="1" x14ac:dyDescent="0.35">
      <c r="B22" s="97">
        <v>97055500</v>
      </c>
      <c r="C22" s="104" t="s">
        <v>220</v>
      </c>
      <c r="D22" s="105" t="s">
        <v>216</v>
      </c>
      <c r="E22" s="251" t="s">
        <v>86</v>
      </c>
    </row>
    <row r="23" spans="2:9" ht="20.100000000000001" customHeight="1" x14ac:dyDescent="0.3">
      <c r="B23" s="97">
        <v>97051000</v>
      </c>
      <c r="C23" s="98" t="s">
        <v>93</v>
      </c>
      <c r="D23" s="99" t="s">
        <v>94</v>
      </c>
      <c r="E23" s="100" t="s">
        <v>95</v>
      </c>
    </row>
    <row r="24" spans="2:9" ht="20.100000000000001" customHeight="1" x14ac:dyDescent="0.3">
      <c r="B24" s="97">
        <v>97052000</v>
      </c>
      <c r="C24" s="98" t="s">
        <v>96</v>
      </c>
      <c r="D24" s="99" t="s">
        <v>97</v>
      </c>
      <c r="E24" s="100" t="s">
        <v>95</v>
      </c>
    </row>
    <row r="25" spans="2:9" ht="20.100000000000001" customHeight="1" x14ac:dyDescent="0.3">
      <c r="B25" s="97">
        <v>97053000</v>
      </c>
      <c r="C25" s="98" t="s">
        <v>98</v>
      </c>
      <c r="D25" s="99" t="s">
        <v>99</v>
      </c>
      <c r="E25" s="100" t="s">
        <v>95</v>
      </c>
    </row>
    <row r="26" spans="2:9" ht="20.100000000000001" customHeight="1" x14ac:dyDescent="0.3">
      <c r="B26" s="97">
        <v>97054000</v>
      </c>
      <c r="C26" s="98" t="s">
        <v>221</v>
      </c>
      <c r="D26" s="99" t="s">
        <v>218</v>
      </c>
      <c r="E26" s="100" t="s">
        <v>95</v>
      </c>
    </row>
    <row r="27" spans="2:9" ht="20.100000000000001" customHeight="1" thickBot="1" x14ac:dyDescent="0.35">
      <c r="B27" s="97">
        <v>97055000</v>
      </c>
      <c r="C27" s="104" t="s">
        <v>222</v>
      </c>
      <c r="D27" s="105" t="s">
        <v>215</v>
      </c>
      <c r="E27" s="106" t="s">
        <v>95</v>
      </c>
    </row>
    <row r="28" spans="2:9" ht="20.100000000000001" customHeight="1" x14ac:dyDescent="0.3">
      <c r="B28" s="97">
        <v>98000010</v>
      </c>
      <c r="C28" s="98" t="s">
        <v>100</v>
      </c>
      <c r="D28" s="99" t="s">
        <v>101</v>
      </c>
      <c r="E28" s="100" t="s">
        <v>83</v>
      </c>
    </row>
    <row r="29" spans="2:9" ht="20.100000000000001" customHeight="1" x14ac:dyDescent="0.3">
      <c r="B29" s="97">
        <v>98000020</v>
      </c>
      <c r="C29" s="101" t="s">
        <v>102</v>
      </c>
      <c r="D29" s="29" t="s">
        <v>103</v>
      </c>
      <c r="E29" s="100" t="s">
        <v>83</v>
      </c>
    </row>
    <row r="30" spans="2:9" ht="20.100000000000001" customHeight="1" x14ac:dyDescent="0.3">
      <c r="B30" s="97">
        <v>98000030</v>
      </c>
      <c r="C30" s="101" t="s">
        <v>104</v>
      </c>
      <c r="D30" s="29" t="s">
        <v>105</v>
      </c>
      <c r="E30" s="100" t="s">
        <v>83</v>
      </c>
    </row>
    <row r="31" spans="2:9" ht="20.100000000000001" customHeight="1" x14ac:dyDescent="0.3">
      <c r="B31" s="97">
        <v>98000040</v>
      </c>
      <c r="C31" s="101" t="s">
        <v>106</v>
      </c>
      <c r="D31" s="29" t="s">
        <v>107</v>
      </c>
      <c r="E31" s="100" t="s">
        <v>83</v>
      </c>
    </row>
    <row r="32" spans="2:9" ht="20.100000000000001" customHeight="1" x14ac:dyDescent="0.3">
      <c r="B32" s="97">
        <v>98000050</v>
      </c>
      <c r="C32" s="101" t="s">
        <v>108</v>
      </c>
      <c r="D32" s="29" t="s">
        <v>109</v>
      </c>
      <c r="E32" s="100" t="s">
        <v>83</v>
      </c>
      <c r="I32"/>
    </row>
    <row r="33" spans="2:5" ht="20.100000000000001" customHeight="1" x14ac:dyDescent="0.3">
      <c r="B33" s="271">
        <v>98000060</v>
      </c>
      <c r="C33" s="101" t="s">
        <v>110</v>
      </c>
      <c r="D33" s="29" t="s">
        <v>110</v>
      </c>
      <c r="E33" s="100" t="s">
        <v>83</v>
      </c>
    </row>
    <row r="34" spans="2:5" ht="20.100000000000001" customHeight="1" x14ac:dyDescent="0.3">
      <c r="B34" s="97">
        <v>98000070</v>
      </c>
      <c r="C34" s="101" t="s">
        <v>111</v>
      </c>
      <c r="D34" s="29" t="s">
        <v>112</v>
      </c>
      <c r="E34" s="100" t="s">
        <v>83</v>
      </c>
    </row>
    <row r="35" spans="2:5" ht="20.100000000000001" customHeight="1" x14ac:dyDescent="0.3">
      <c r="B35" s="97">
        <v>98000080</v>
      </c>
      <c r="C35" s="101" t="s">
        <v>113</v>
      </c>
      <c r="D35" s="29" t="s">
        <v>114</v>
      </c>
      <c r="E35" s="100" t="s">
        <v>83</v>
      </c>
    </row>
    <row r="36" spans="2:5" s="113" customFormat="1" ht="20.100000000000001" customHeight="1" x14ac:dyDescent="0.3">
      <c r="B36" s="111"/>
      <c r="C36" s="112"/>
      <c r="E36" s="111"/>
    </row>
    <row r="37" spans="2:5" s="113" customFormat="1" ht="20.100000000000001" customHeight="1" x14ac:dyDescent="0.3">
      <c r="B37" s="538" t="s">
        <v>61</v>
      </c>
      <c r="C37" s="538"/>
      <c r="D37" s="538"/>
      <c r="E37" s="93"/>
    </row>
    <row r="38" spans="2:5" s="113" customFormat="1" ht="20.100000000000001" customHeight="1" x14ac:dyDescent="0.3">
      <c r="B38" s="114">
        <f>'Stand 2023-09-11'!AK51</f>
        <v>4.8</v>
      </c>
      <c r="C38" s="535" t="s">
        <v>119</v>
      </c>
      <c r="D38" s="535"/>
      <c r="E38" s="102" t="s">
        <v>120</v>
      </c>
    </row>
    <row r="39" spans="2:5" s="113" customFormat="1" ht="20.100000000000001" customHeight="1" x14ac:dyDescent="0.3">
      <c r="B39" s="114">
        <f>'Stand 2023-09-11'!AK52</f>
        <v>9.6</v>
      </c>
      <c r="C39" s="535" t="s">
        <v>121</v>
      </c>
      <c r="D39" s="535"/>
      <c r="E39" s="102" t="s">
        <v>128</v>
      </c>
    </row>
    <row r="40" spans="2:5" s="113" customFormat="1" ht="20.100000000000001" customHeight="1" x14ac:dyDescent="0.3">
      <c r="B40" s="114">
        <f>'Stand 2023-09-11'!AK53</f>
        <v>14.399999999999999</v>
      </c>
      <c r="C40" s="535" t="s">
        <v>122</v>
      </c>
      <c r="D40" s="535"/>
      <c r="E40" s="102" t="s">
        <v>123</v>
      </c>
    </row>
    <row r="41" spans="2:5" s="113" customFormat="1" ht="20.100000000000001" customHeight="1" x14ac:dyDescent="0.3">
      <c r="B41" s="114">
        <f>'Stand 2023-09-11'!AK54</f>
        <v>19.2</v>
      </c>
      <c r="C41" s="535" t="s">
        <v>124</v>
      </c>
      <c r="D41" s="535"/>
      <c r="E41" s="102" t="s">
        <v>125</v>
      </c>
    </row>
    <row r="42" spans="2:5" s="113" customFormat="1" ht="20.100000000000001" customHeight="1" x14ac:dyDescent="0.3">
      <c r="B42" s="114">
        <f>'Stand 2023-09-11'!AK55</f>
        <v>24</v>
      </c>
      <c r="C42" s="535" t="s">
        <v>126</v>
      </c>
      <c r="D42" s="535"/>
      <c r="E42" s="102" t="s">
        <v>127</v>
      </c>
    </row>
    <row r="44" spans="2:5" ht="20.100000000000001" customHeight="1" x14ac:dyDescent="0.3">
      <c r="B44" s="530" t="s">
        <v>115</v>
      </c>
      <c r="C44" s="530"/>
      <c r="D44" s="530"/>
      <c r="E44" s="93"/>
    </row>
    <row r="45" spans="2:5" ht="20.100000000000001" customHeight="1" thickBot="1" x14ac:dyDescent="0.35">
      <c r="B45" s="95" t="s">
        <v>48</v>
      </c>
      <c r="C45" s="96" t="s">
        <v>146</v>
      </c>
      <c r="D45" s="531" t="s">
        <v>79</v>
      </c>
      <c r="E45" s="532"/>
    </row>
    <row r="46" spans="2:5" ht="20.100000000000001" customHeight="1" x14ac:dyDescent="0.3">
      <c r="B46" s="97">
        <v>2560</v>
      </c>
      <c r="C46" s="98" t="s">
        <v>59</v>
      </c>
      <c r="D46" s="533" t="s">
        <v>116</v>
      </c>
      <c r="E46" s="534"/>
    </row>
    <row r="47" spans="2:5" ht="20.100000000000001" customHeight="1" x14ac:dyDescent="0.3">
      <c r="B47" s="16">
        <v>2562</v>
      </c>
      <c r="C47" s="101" t="s">
        <v>60</v>
      </c>
      <c r="D47" s="275" t="s">
        <v>117</v>
      </c>
      <c r="E47" s="277"/>
    </row>
    <row r="48" spans="2:5" s="113" customFormat="1" ht="20.100000000000001" customHeight="1" x14ac:dyDescent="0.3">
      <c r="B48" s="97">
        <v>2569</v>
      </c>
      <c r="C48" s="98" t="s">
        <v>38</v>
      </c>
      <c r="D48" s="536" t="s">
        <v>147</v>
      </c>
      <c r="E48" s="537"/>
    </row>
    <row r="49" spans="2:5" s="113" customFormat="1" ht="20.100000000000001" customHeight="1" x14ac:dyDescent="0.3">
      <c r="B49" s="527" t="s">
        <v>135</v>
      </c>
      <c r="C49" s="528"/>
      <c r="D49" s="529"/>
      <c r="E49" s="93"/>
    </row>
    <row r="50" spans="2:5" s="113" customFormat="1" ht="20.100000000000001" customHeight="1" x14ac:dyDescent="0.3">
      <c r="B50" s="102">
        <v>2566</v>
      </c>
      <c r="C50" s="115" t="s">
        <v>129</v>
      </c>
      <c r="D50" s="115" t="s">
        <v>130</v>
      </c>
      <c r="E50" s="102"/>
    </row>
    <row r="51" spans="2:5" s="113" customFormat="1" ht="20.100000000000001" customHeight="1" x14ac:dyDescent="0.3">
      <c r="B51" s="16">
        <v>2567</v>
      </c>
      <c r="C51" s="101" t="s">
        <v>52</v>
      </c>
      <c r="D51" s="101" t="s">
        <v>118</v>
      </c>
      <c r="E51" s="29"/>
    </row>
    <row r="52" spans="2:5" s="113" customFormat="1" ht="20.100000000000001" customHeight="1" x14ac:dyDescent="0.3">
      <c r="B52" s="102">
        <v>2568</v>
      </c>
      <c r="C52" s="115" t="s">
        <v>131</v>
      </c>
      <c r="D52" s="101" t="s">
        <v>118</v>
      </c>
      <c r="E52" s="102"/>
    </row>
    <row r="53" spans="2:5" s="113" customFormat="1" ht="20.100000000000001" customHeight="1" x14ac:dyDescent="0.3">
      <c r="B53" s="102">
        <v>2570</v>
      </c>
      <c r="C53" s="115" t="s">
        <v>132</v>
      </c>
      <c r="D53" s="115"/>
      <c r="E53" s="102"/>
    </row>
    <row r="54" spans="2:5" s="113" customFormat="1" ht="20.100000000000001" customHeight="1" x14ac:dyDescent="0.3">
      <c r="B54" s="102">
        <v>2661</v>
      </c>
      <c r="C54" s="115" t="s">
        <v>144</v>
      </c>
      <c r="D54" s="115" t="s">
        <v>143</v>
      </c>
      <c r="E54" s="102"/>
    </row>
    <row r="55" spans="2:5" s="113" customFormat="1" ht="20.100000000000001" customHeight="1" x14ac:dyDescent="0.3">
      <c r="B55" s="102">
        <v>2704</v>
      </c>
      <c r="C55" s="115" t="s">
        <v>145</v>
      </c>
      <c r="D55" s="115" t="s">
        <v>133</v>
      </c>
      <c r="E55" s="102"/>
    </row>
    <row r="56" spans="2:5" s="113" customFormat="1" ht="20.100000000000001" customHeight="1" x14ac:dyDescent="0.3">
      <c r="B56" s="102">
        <v>2802</v>
      </c>
      <c r="C56" s="115" t="s">
        <v>136</v>
      </c>
      <c r="D56" s="115" t="s">
        <v>148</v>
      </c>
      <c r="E56" s="102"/>
    </row>
    <row r="57" spans="2:5" s="113" customFormat="1" ht="20.100000000000001" customHeight="1" x14ac:dyDescent="0.3">
      <c r="B57" s="102">
        <v>2810</v>
      </c>
      <c r="C57" s="115" t="s">
        <v>134</v>
      </c>
      <c r="D57" s="115"/>
      <c r="E57" s="102"/>
    </row>
    <row r="58" spans="2:5" s="113" customFormat="1" ht="20.100000000000001" customHeight="1" x14ac:dyDescent="0.3">
      <c r="B58" s="111"/>
      <c r="C58" s="112"/>
      <c r="E58" s="111"/>
    </row>
    <row r="59" spans="2:5" s="113" customFormat="1" ht="20.100000000000001" customHeight="1" x14ac:dyDescent="0.3">
      <c r="B59" s="111"/>
      <c r="C59" s="112"/>
      <c r="E59" s="111"/>
    </row>
    <row r="60" spans="2:5" s="113" customFormat="1" ht="20.100000000000001" customHeight="1" x14ac:dyDescent="0.3">
      <c r="B60" s="111"/>
      <c r="C60" s="112"/>
      <c r="E60" s="111"/>
    </row>
    <row r="61" spans="2:5" s="113" customFormat="1" ht="20.100000000000001" customHeight="1" x14ac:dyDescent="0.3">
      <c r="B61" s="111"/>
      <c r="C61" s="112"/>
      <c r="E61" s="111"/>
    </row>
    <row r="62" spans="2:5" s="113" customFormat="1" ht="20.100000000000001" customHeight="1" x14ac:dyDescent="0.3">
      <c r="B62" s="111"/>
      <c r="C62" s="112"/>
      <c r="E62" s="111"/>
    </row>
    <row r="63" spans="2:5" s="113" customFormat="1" ht="20.100000000000001" customHeight="1" x14ac:dyDescent="0.3">
      <c r="B63" s="111"/>
      <c r="C63" s="112"/>
      <c r="E63" s="111"/>
    </row>
  </sheetData>
  <sheetProtection algorithmName="SHA-512" hashValue="F49X6nnRQk2/h4LoW4kRTdaay80QRCPpKf8zb6eHomr4HA2dGlM6RBx4M7n3U0fm1qYGFdGCHCuY14hDhDIW5Q==" saltValue="ieyyMMuHuze7qklyn22LEw==" spinCount="100000" sheet="1" selectLockedCells="1"/>
  <sortState xmlns:xlrd2="http://schemas.microsoft.com/office/spreadsheetml/2017/richdata2" ref="B39:E50">
    <sortCondition ref="B39:B50"/>
  </sortState>
  <mergeCells count="13">
    <mergeCell ref="B49:D49"/>
    <mergeCell ref="B2:D2"/>
    <mergeCell ref="B44:D44"/>
    <mergeCell ref="D45:E45"/>
    <mergeCell ref="D46:E46"/>
    <mergeCell ref="D47:E47"/>
    <mergeCell ref="C42:D42"/>
    <mergeCell ref="D48:E48"/>
    <mergeCell ref="B37:D37"/>
    <mergeCell ref="C38:D38"/>
    <mergeCell ref="C39:D39"/>
    <mergeCell ref="C40:D40"/>
    <mergeCell ref="C41:D4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B1:E34"/>
  <sheetViews>
    <sheetView showGridLines="0" zoomScaleNormal="100" workbookViewId="0">
      <selection activeCell="E18" sqref="E18:E19"/>
    </sheetView>
  </sheetViews>
  <sheetFormatPr baseColWidth="10" defaultColWidth="11.44140625" defaultRowHeight="14.4" x14ac:dyDescent="0.3"/>
  <cols>
    <col min="1" max="1" width="3.44140625" style="2" customWidth="1"/>
    <col min="2" max="2" width="8.5546875" style="2" customWidth="1"/>
    <col min="3" max="4" width="11.44140625" style="3"/>
    <col min="5" max="5" width="70.21875" style="2" customWidth="1"/>
    <col min="6" max="16384" width="11.44140625" style="2"/>
  </cols>
  <sheetData>
    <row r="1" spans="2:5" ht="15.6" x14ac:dyDescent="0.3">
      <c r="B1" s="539" t="s">
        <v>167</v>
      </c>
      <c r="C1" s="539"/>
      <c r="D1" s="539"/>
      <c r="E1" s="539"/>
    </row>
    <row r="2" spans="2:5" x14ac:dyDescent="0.3">
      <c r="B2" s="2" t="s">
        <v>3</v>
      </c>
      <c r="C2" s="541" t="s">
        <v>181</v>
      </c>
      <c r="D2" s="541"/>
      <c r="E2" s="541"/>
    </row>
    <row r="3" spans="2:5" ht="8.25" customHeight="1" x14ac:dyDescent="0.3"/>
    <row r="4" spans="2:5" x14ac:dyDescent="0.3">
      <c r="B4" s="540" t="s">
        <v>4</v>
      </c>
      <c r="C4" s="540"/>
      <c r="D4" s="540"/>
      <c r="E4" s="540"/>
    </row>
    <row r="5" spans="2:5" ht="9" customHeight="1" x14ac:dyDescent="0.3"/>
    <row r="6" spans="2:5" x14ac:dyDescent="0.3">
      <c r="B6" s="4" t="s">
        <v>5</v>
      </c>
      <c r="C6" s="5" t="s">
        <v>6</v>
      </c>
      <c r="D6" s="5" t="s">
        <v>7</v>
      </c>
      <c r="E6" s="6" t="s">
        <v>8</v>
      </c>
    </row>
    <row r="7" spans="2:5" x14ac:dyDescent="0.3">
      <c r="B7" s="7" t="s">
        <v>177</v>
      </c>
      <c r="C7" s="8">
        <v>41684</v>
      </c>
      <c r="D7" s="7" t="s">
        <v>9</v>
      </c>
      <c r="E7" s="9" t="s">
        <v>13</v>
      </c>
    </row>
    <row r="8" spans="2:5" x14ac:dyDescent="0.3">
      <c r="B8" s="7" t="s">
        <v>178</v>
      </c>
      <c r="C8" s="8">
        <v>41689</v>
      </c>
      <c r="D8" s="7" t="s">
        <v>9</v>
      </c>
      <c r="E8" s="9" t="s">
        <v>168</v>
      </c>
    </row>
    <row r="9" spans="2:5" x14ac:dyDescent="0.3">
      <c r="B9" s="10" t="s">
        <v>179</v>
      </c>
      <c r="C9" s="11">
        <v>41690</v>
      </c>
      <c r="D9" s="7" t="s">
        <v>9</v>
      </c>
      <c r="E9" s="9" t="s">
        <v>169</v>
      </c>
    </row>
    <row r="10" spans="2:5" x14ac:dyDescent="0.3">
      <c r="B10" s="7" t="s">
        <v>182</v>
      </c>
      <c r="C10" s="11">
        <v>41690</v>
      </c>
      <c r="D10" s="7" t="s">
        <v>9</v>
      </c>
      <c r="E10" s="9" t="s">
        <v>176</v>
      </c>
    </row>
    <row r="11" spans="2:5" x14ac:dyDescent="0.3">
      <c r="B11" s="7" t="s">
        <v>184</v>
      </c>
      <c r="C11" s="8">
        <v>41691</v>
      </c>
      <c r="D11" s="7" t="s">
        <v>9</v>
      </c>
      <c r="E11" s="9" t="s">
        <v>185</v>
      </c>
    </row>
    <row r="12" spans="2:5" x14ac:dyDescent="0.3">
      <c r="B12" s="7" t="s">
        <v>189</v>
      </c>
      <c r="C12" s="8">
        <v>41700</v>
      </c>
      <c r="D12" s="7" t="s">
        <v>9</v>
      </c>
      <c r="E12" s="9" t="s">
        <v>190</v>
      </c>
    </row>
    <row r="13" spans="2:5" x14ac:dyDescent="0.3">
      <c r="B13" s="253" t="s">
        <v>180</v>
      </c>
      <c r="C13" s="254">
        <v>41701</v>
      </c>
      <c r="D13" s="253" t="s">
        <v>198</v>
      </c>
      <c r="E13" s="255" t="s">
        <v>199</v>
      </c>
    </row>
    <row r="14" spans="2:5" x14ac:dyDescent="0.3">
      <c r="B14" s="7" t="s">
        <v>202</v>
      </c>
      <c r="C14" s="8">
        <v>41933</v>
      </c>
      <c r="D14" s="7" t="s">
        <v>9</v>
      </c>
      <c r="E14" s="9" t="s">
        <v>203</v>
      </c>
    </row>
    <row r="15" spans="2:5" x14ac:dyDescent="0.3">
      <c r="B15" s="7" t="s">
        <v>204</v>
      </c>
      <c r="C15" s="8">
        <v>41962</v>
      </c>
      <c r="D15" s="7" t="s">
        <v>9</v>
      </c>
      <c r="E15" s="9" t="s">
        <v>205</v>
      </c>
    </row>
    <row r="16" spans="2:5" x14ac:dyDescent="0.3">
      <c r="B16" s="7" t="s">
        <v>208</v>
      </c>
      <c r="C16" s="8">
        <v>43958</v>
      </c>
      <c r="D16" s="7" t="s">
        <v>209</v>
      </c>
      <c r="E16" s="9" t="s">
        <v>210</v>
      </c>
    </row>
    <row r="17" spans="2:5" x14ac:dyDescent="0.3">
      <c r="B17" s="7" t="s">
        <v>211</v>
      </c>
      <c r="C17" s="8">
        <v>44214</v>
      </c>
      <c r="D17" s="7" t="s">
        <v>209</v>
      </c>
      <c r="E17" s="9" t="s">
        <v>210</v>
      </c>
    </row>
    <row r="18" spans="2:5" x14ac:dyDescent="0.3">
      <c r="B18" s="7" t="s">
        <v>212</v>
      </c>
      <c r="C18" s="8">
        <v>44386</v>
      </c>
      <c r="D18" s="7" t="s">
        <v>209</v>
      </c>
      <c r="E18" s="9" t="s">
        <v>213</v>
      </c>
    </row>
    <row r="19" spans="2:5" x14ac:dyDescent="0.3">
      <c r="B19" s="7" t="s">
        <v>214</v>
      </c>
      <c r="C19" s="8">
        <v>44706</v>
      </c>
      <c r="D19" s="7" t="s">
        <v>209</v>
      </c>
      <c r="E19" s="9" t="s">
        <v>213</v>
      </c>
    </row>
    <row r="20" spans="2:5" x14ac:dyDescent="0.3">
      <c r="B20" s="7"/>
      <c r="C20" s="8"/>
      <c r="D20" s="7"/>
      <c r="E20" s="9"/>
    </row>
    <row r="21" spans="2:5" x14ac:dyDescent="0.3">
      <c r="B21" s="7"/>
      <c r="C21" s="8"/>
      <c r="D21" s="7"/>
      <c r="E21" s="9"/>
    </row>
    <row r="22" spans="2:5" x14ac:dyDescent="0.3">
      <c r="B22" s="7"/>
      <c r="C22" s="8"/>
      <c r="D22" s="7"/>
      <c r="E22" s="9"/>
    </row>
    <row r="23" spans="2:5" x14ac:dyDescent="0.3">
      <c r="B23" s="12"/>
    </row>
    <row r="24" spans="2:5" x14ac:dyDescent="0.3">
      <c r="B24" s="542" t="s">
        <v>206</v>
      </c>
      <c r="C24" s="542"/>
      <c r="D24" s="542"/>
      <c r="E24" s="542"/>
    </row>
    <row r="25" spans="2:5" x14ac:dyDescent="0.3">
      <c r="B25" s="543" t="s">
        <v>207</v>
      </c>
      <c r="C25" s="544"/>
      <c r="D25" s="544"/>
      <c r="E25" s="545"/>
    </row>
    <row r="26" spans="2:5" x14ac:dyDescent="0.3">
      <c r="B26" s="543"/>
      <c r="C26" s="544"/>
      <c r="D26" s="544"/>
      <c r="E26" s="545"/>
    </row>
    <row r="27" spans="2:5" x14ac:dyDescent="0.3">
      <c r="B27" s="543"/>
      <c r="C27" s="544"/>
      <c r="D27" s="544"/>
      <c r="E27" s="545"/>
    </row>
    <row r="28" spans="2:5" x14ac:dyDescent="0.3">
      <c r="B28" s="543"/>
      <c r="C28" s="544"/>
      <c r="D28" s="544"/>
      <c r="E28" s="545"/>
    </row>
    <row r="29" spans="2:5" x14ac:dyDescent="0.3">
      <c r="B29" s="543"/>
      <c r="C29" s="544"/>
      <c r="D29" s="544"/>
      <c r="E29" s="545"/>
    </row>
    <row r="30" spans="2:5" x14ac:dyDescent="0.3">
      <c r="B30" s="543"/>
      <c r="C30" s="544"/>
      <c r="D30" s="544"/>
      <c r="E30" s="545"/>
    </row>
    <row r="31" spans="2:5" x14ac:dyDescent="0.3">
      <c r="B31" s="543"/>
      <c r="C31" s="544"/>
      <c r="D31" s="544"/>
      <c r="E31" s="545"/>
    </row>
    <row r="32" spans="2:5" x14ac:dyDescent="0.3">
      <c r="B32" s="543"/>
      <c r="C32" s="544"/>
      <c r="D32" s="544"/>
      <c r="E32" s="545"/>
    </row>
    <row r="33" spans="2:5" x14ac:dyDescent="0.3">
      <c r="B33" s="543"/>
      <c r="C33" s="544"/>
      <c r="D33" s="544"/>
      <c r="E33" s="545"/>
    </row>
    <row r="34" spans="2:5" x14ac:dyDescent="0.3">
      <c r="B34" s="543"/>
      <c r="C34" s="544"/>
      <c r="D34" s="544"/>
      <c r="E34" s="545"/>
    </row>
  </sheetData>
  <sheetProtection selectLockedCells="1"/>
  <mergeCells count="14">
    <mergeCell ref="B33:E33"/>
    <mergeCell ref="B34:E34"/>
    <mergeCell ref="B30:E30"/>
    <mergeCell ref="B31:E31"/>
    <mergeCell ref="B25:E25"/>
    <mergeCell ref="B26:E26"/>
    <mergeCell ref="B27:E27"/>
    <mergeCell ref="B28:E28"/>
    <mergeCell ref="B29:E29"/>
    <mergeCell ref="B1:E1"/>
    <mergeCell ref="B4:E4"/>
    <mergeCell ref="C2:E2"/>
    <mergeCell ref="B24:E24"/>
    <mergeCell ref="B32:E32"/>
  </mergeCells>
  <pageMargins left="0.70866141732283472" right="0.70866141732283472" top="0.78740157480314965" bottom="0.78740157480314965" header="0.31496062992125984" footer="0.31496062992125984"/>
  <pageSetup paperSize="9" scale="72" orientation="portrait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7" ma:contentTypeDescription="Ein neues Dokument erstellen." ma:contentTypeScope="" ma:versionID="eaa9142d8d71f9278f2f1cf525af6f2c">
  <xsd:schema xmlns:xsd="http://www.w3.org/2001/XMLSchema" xmlns:xs="http://www.w3.org/2001/XMLSchema" xmlns:p="http://schemas.microsoft.com/office/2006/metadata/properties" xmlns:ns2="d2cb098b-a8cb-40b8-9147-3753dab4aa3f" xmlns:ns3="59afc54e-9427-4ce7-aea4-1a83f2d98765" targetNamespace="http://schemas.microsoft.com/office/2006/metadata/properties" ma:root="true" ma:fieldsID="1a3b74fff4f5f886a9ffec2a3b19f4dd" ns2:_="" ns3:_="">
    <xsd:import namespace="d2cb098b-a8cb-40b8-9147-3753dab4aa3f"/>
    <xsd:import namespace="59afc54e-9427-4ce7-aea4-1a83f2d98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89eff4c-294f-467c-a0df-96101db9c6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fc54e-9427-4ce7-aea4-1a83f2d9876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8852d1-a10a-464b-9a6a-7e567e0a069c}" ma:internalName="TaxCatchAll" ma:showField="CatchAllData" ma:web="59afc54e-9427-4ce7-aea4-1a83f2d987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BBF9F-A0AB-44C4-8BAD-6F826708C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098b-a8cb-40b8-9147-3753dab4aa3f"/>
    <ds:schemaRef ds:uri="59afc54e-9427-4ce7-aea4-1a83f2d98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717281-969D-4CD5-B912-ACD482225E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Stand 2023-09-11</vt:lpstr>
      <vt:lpstr>Kosten-Stellen</vt:lpstr>
      <vt:lpstr>Historie</vt:lpstr>
      <vt:lpstr>'Stand 2023-09-11'!Druckbereich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Renz</dc:creator>
  <cp:lastModifiedBy>Frank Fürste | TTBW</cp:lastModifiedBy>
  <cp:lastPrinted>2014-03-02T21:57:10Z</cp:lastPrinted>
  <dcterms:created xsi:type="dcterms:W3CDTF">2011-01-26T14:29:09Z</dcterms:created>
  <dcterms:modified xsi:type="dcterms:W3CDTF">2023-09-12T13:49:34Z</dcterms:modified>
</cp:coreProperties>
</file>